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codeName="ThisWorkbook" autoCompressPictures="0"/>
  <mc:AlternateContent xmlns:mc="http://schemas.openxmlformats.org/markup-compatibility/2006">
    <mc:Choice Requires="x15">
      <x15ac:absPath xmlns:x15ac="http://schemas.microsoft.com/office/spreadsheetml/2010/11/ac" url="E:\薑餅人之塔\"/>
    </mc:Choice>
  </mc:AlternateContent>
  <xr:revisionPtr revIDLastSave="0" documentId="13_ncr:1_{298C717C-75E8-49C9-9DD0-E01EEE5FD338}" xr6:coauthVersionLast="47" xr6:coauthVersionMax="47" xr10:uidLastSave="{00000000-0000-0000-0000-000000000000}"/>
  <bookViews>
    <workbookView xWindow="28680" yWindow="-120" windowWidth="29040" windowHeight="15840" xr2:uid="{00000000-000D-0000-FFFF-FFFF00000000}"/>
  </bookViews>
  <sheets>
    <sheet name="首頁" sheetId="11" r:id="rId1"/>
    <sheet name="狼人" sheetId="35" r:id="rId2"/>
    <sheet name="角色與等級" sheetId="12" r:id="rId3"/>
    <sheet name="計算過程" sheetId="19" r:id="rId4"/>
    <sheet name="法寶卡" sheetId="17" r:id="rId5"/>
    <sheet name="套裝" sheetId="18" r:id="rId6"/>
    <sheet name="角色倍率" sheetId="32" r:id="rId7"/>
    <sheet name="角色技能倍率" sheetId="26" state="hidden" r:id="rId8"/>
    <sheet name="武器" sheetId="24" r:id="rId9"/>
    <sheet name="潛能數據" sheetId="20" r:id="rId10"/>
    <sheet name="敵人防禦及狀態" sheetId="28" r:id="rId11"/>
    <sheet name="暴擊倍率" sheetId="3" r:id="rId12"/>
    <sheet name="問答" sheetId="29" r:id="rId13"/>
    <sheet name="角色最佳潛能" sheetId="30" state="hidden" r:id="rId14"/>
    <sheet name="其他實測" sheetId="31" r:id="rId15"/>
    <sheet name="屬性標記" sheetId="33" r:id="rId16"/>
    <sheet name="網址" sheetId="13" state="hidden" r:id="rId17"/>
    <sheet name="防禦穿透表現" sheetId="23" state="hidden" r:id="rId18"/>
  </sheets>
  <definedNames>
    <definedName name="支援">法寶卡!$T$4:$T$14</definedName>
    <definedName name="打擊">法寶卡!$T$52:$T$62</definedName>
    <definedName name="砍擊">法寶卡!$T$28:$T$39</definedName>
    <definedName name="射擊">法寶卡!$T$64:$T$75</definedName>
    <definedName name="通用">法寶卡!$T$32:$T$39</definedName>
    <definedName name="黑巧克力_特殊技能">角色倍率!$D$7:$D$8</definedName>
    <definedName name="黑巧克力_基本攻擊">角色倍率!$D$3:$D$6</definedName>
    <definedName name="黑巧克力_被動">角色倍率!$D$11:$D$12</definedName>
    <definedName name="黑巧克力_絕招">角色倍率!$D$9:$D$10</definedName>
    <definedName name="魔法">法寶卡!$T$16:$T$26</definedName>
  </definedNames>
  <calcPr calcId="191029"/>
  <extLst>
    <ext xmlns:x14="http://schemas.microsoft.com/office/spreadsheetml/2009/9/main" uri="{79F54976-1DA5-4618-B147-4CDE4B953A38}">
      <x14:workbookPr defaultImageDpi="32767"/>
    </ex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21" i="35" l="1"/>
  <c r="G20" i="35"/>
  <c r="G19" i="35"/>
  <c r="BN32" i="19"/>
  <c r="AN28" i="19"/>
  <c r="AJ28" i="19"/>
  <c r="P34" i="19"/>
  <c r="L32" i="19"/>
  <c r="U52" i="19"/>
  <c r="H52" i="19"/>
  <c r="L52" i="19"/>
  <c r="U50" i="19"/>
  <c r="BP3" i="19"/>
  <c r="BP2" i="19"/>
  <c r="AZ68" i="19"/>
  <c r="AZ69" i="19"/>
  <c r="AZ70" i="19"/>
  <c r="AZ71" i="19"/>
  <c r="AZ72" i="19"/>
  <c r="AZ73" i="19"/>
  <c r="AM32" i="19"/>
  <c r="AK34" i="19"/>
  <c r="AL32" i="19"/>
  <c r="AK32" i="19"/>
  <c r="AK21" i="19"/>
  <c r="BG73" i="19"/>
  <c r="BG72" i="19"/>
  <c r="BG71" i="19"/>
  <c r="BG70" i="19"/>
  <c r="BG69" i="19"/>
  <c r="BG68" i="19"/>
  <c r="BC21" i="19"/>
  <c r="BI68" i="19"/>
  <c r="BF30" i="19"/>
  <c r="AY30" i="19"/>
  <c r="BE34" i="19"/>
  <c r="BD34" i="19"/>
  <c r="BD19" i="19"/>
  <c r="AW30" i="19"/>
  <c r="BB20" i="19"/>
  <c r="BN19" i="19"/>
  <c r="BK19" i="19"/>
  <c r="G38" i="11"/>
  <c r="G39" i="11"/>
  <c r="G40" i="11"/>
  <c r="G41" i="11"/>
  <c r="G5" i="11"/>
  <c r="BI73" i="19"/>
  <c r="BI69" i="19"/>
  <c r="BI72" i="19"/>
  <c r="BI71" i="19"/>
  <c r="BI70" i="19"/>
  <c r="K19" i="11"/>
  <c r="G5" i="31"/>
  <c r="H5" i="31" s="1"/>
  <c r="G6" i="31"/>
  <c r="H6" i="31" s="1"/>
  <c r="G7" i="31"/>
  <c r="H7" i="31" s="1"/>
  <c r="G8" i="31"/>
  <c r="H8" i="31" s="1"/>
  <c r="G9" i="31"/>
  <c r="H9" i="31" s="1"/>
  <c r="G10" i="31"/>
  <c r="H10" i="31" s="1"/>
  <c r="G4" i="31"/>
  <c r="H4" i="31" s="1"/>
  <c r="AB54" i="19"/>
  <c r="AB60" i="19"/>
  <c r="BN40" i="19" l="1"/>
  <c r="BN42" i="19"/>
  <c r="BN36" i="19"/>
  <c r="BN34" i="19"/>
  <c r="BN38" i="19"/>
  <c r="BN26" i="19"/>
  <c r="BN18" i="19"/>
  <c r="BN16" i="19"/>
  <c r="BN17" i="19"/>
  <c r="BN15" i="19"/>
  <c r="BN28" i="19"/>
  <c r="X21" i="19"/>
  <c r="X32" i="19"/>
  <c r="H32" i="30"/>
  <c r="G32" i="30"/>
  <c r="F32" i="30"/>
  <c r="H27" i="30"/>
  <c r="G27" i="30"/>
  <c r="F27" i="30"/>
  <c r="U30" i="19"/>
  <c r="H38" i="19"/>
  <c r="P21" i="19"/>
  <c r="P20" i="19"/>
  <c r="L10" i="19"/>
  <c r="L15" i="19"/>
  <c r="H28" i="19"/>
  <c r="U9" i="19"/>
  <c r="T28" i="19"/>
  <c r="P40" i="19"/>
  <c r="L28" i="19"/>
  <c r="H50" i="19"/>
  <c r="L44" i="19"/>
  <c r="D7" i="11"/>
  <c r="BP54" i="19"/>
  <c r="X28" i="19"/>
  <c r="K17" i="30"/>
  <c r="M17" i="30"/>
  <c r="O17" i="30"/>
  <c r="BA34" i="19"/>
  <c r="BH64" i="19"/>
  <c r="V34" i="19" l="1"/>
  <c r="AL21" i="19"/>
  <c r="AN21" i="19"/>
  <c r="AN34" i="19"/>
  <c r="Z21" i="19"/>
  <c r="BP50" i="19"/>
  <c r="AX64" i="19"/>
  <c r="G17" i="30"/>
  <c r="E17" i="30"/>
  <c r="C17" i="30"/>
  <c r="U64" i="19"/>
  <c r="V7" i="11" l="1"/>
  <c r="V8" i="11" s="1"/>
  <c r="BP64" i="19"/>
  <c r="V23" i="11" s="1"/>
  <c r="AD8" i="11" l="1"/>
  <c r="AC8" i="11"/>
  <c r="AE8" i="11"/>
  <c r="AF8" i="11"/>
  <c r="AC23" i="11"/>
  <c r="AE23" i="11"/>
  <c r="AD23" i="11"/>
  <c r="AF23" i="11"/>
  <c r="AU24" i="19"/>
  <c r="AG21" i="19"/>
  <c r="AU42" i="19"/>
  <c r="AI38" i="19"/>
  <c r="C28" i="19" l="1"/>
  <c r="G9" i="11" l="1"/>
  <c r="AJ30" i="19"/>
  <c r="AQ30" i="19"/>
  <c r="AI56" i="19"/>
  <c r="BP56" i="19" s="1"/>
  <c r="AJ21" i="19"/>
  <c r="G4" i="11"/>
  <c r="U72" i="19" s="1"/>
  <c r="G3" i="11"/>
  <c r="AI62" i="19"/>
  <c r="BP62" i="19" s="1"/>
  <c r="AF21" i="19"/>
  <c r="Y30" i="19"/>
  <c r="AH48" i="19"/>
  <c r="BP48" i="19" s="1"/>
  <c r="AH36" i="19"/>
  <c r="AH30" i="19"/>
  <c r="AG42" i="19"/>
  <c r="AE34" i="19"/>
  <c r="AD34" i="19"/>
  <c r="AD52" i="19"/>
  <c r="AD58" i="19"/>
  <c r="BP60" i="19"/>
  <c r="AB58" i="19"/>
  <c r="W40" i="19"/>
  <c r="W26" i="19"/>
  <c r="AG26" i="19"/>
  <c r="AV28" i="19"/>
  <c r="AU26" i="19"/>
  <c r="AT28" i="19"/>
  <c r="AS28" i="19"/>
  <c r="AR28" i="19"/>
  <c r="AQ28" i="19"/>
  <c r="AC28" i="19"/>
  <c r="AP28" i="19"/>
  <c r="AI28" i="19"/>
  <c r="AH28" i="19"/>
  <c r="AF28" i="19"/>
  <c r="AE28" i="19"/>
  <c r="AD28" i="19"/>
  <c r="AB28" i="19"/>
  <c r="AA28" i="19"/>
  <c r="Z28" i="19"/>
  <c r="Y28" i="19"/>
  <c r="V28" i="19"/>
  <c r="AP70" i="19" l="1"/>
  <c r="U70" i="19"/>
  <c r="AP71" i="19"/>
  <c r="U71" i="19"/>
  <c r="AP72" i="19"/>
  <c r="AP73" i="19"/>
  <c r="U73" i="19"/>
  <c r="AP68" i="19"/>
  <c r="U68" i="19"/>
  <c r="AP69" i="19"/>
  <c r="U69" i="19"/>
  <c r="AC21" i="19"/>
  <c r="AC30" i="19"/>
  <c r="AT21" i="19"/>
  <c r="Z30" i="19"/>
  <c r="BP73" i="19" l="1"/>
  <c r="BP70" i="19"/>
  <c r="BP69" i="19"/>
  <c r="BP72" i="19"/>
  <c r="BP68" i="19"/>
  <c r="BP71" i="19"/>
  <c r="BP66" i="19"/>
  <c r="P58" i="19"/>
  <c r="BP58" i="19" s="1"/>
  <c r="V17" i="11" s="1"/>
  <c r="P46" i="19"/>
  <c r="P26" i="19"/>
  <c r="P24" i="19"/>
  <c r="BP52" i="19"/>
  <c r="V12" i="11" s="1"/>
  <c r="V13" i="11" s="1"/>
  <c r="L24" i="19"/>
  <c r="L26" i="19"/>
  <c r="L18" i="19"/>
  <c r="H34" i="19"/>
  <c r="H32" i="19"/>
  <c r="H26" i="19"/>
  <c r="H9" i="19"/>
  <c r="T32" i="19"/>
  <c r="U8" i="19"/>
  <c r="U7" i="19"/>
  <c r="U6" i="19"/>
  <c r="U5" i="19"/>
  <c r="U4" i="19"/>
  <c r="T36" i="19"/>
  <c r="T38" i="19"/>
  <c r="T40" i="19"/>
  <c r="T20" i="19"/>
  <c r="T42" i="19"/>
  <c r="T19" i="19"/>
  <c r="T21" i="19"/>
  <c r="AF4" i="12"/>
  <c r="O26" i="19"/>
  <c r="K24" i="19"/>
  <c r="G21" i="19"/>
  <c r="L20" i="19"/>
  <c r="L19" i="19"/>
  <c r="L17" i="19"/>
  <c r="L16" i="19"/>
  <c r="P19" i="19"/>
  <c r="P18" i="19"/>
  <c r="P17" i="19"/>
  <c r="P16" i="19"/>
  <c r="P15" i="19"/>
  <c r="P9" i="19"/>
  <c r="P10" i="19"/>
  <c r="R46" i="19"/>
  <c r="R42" i="19"/>
  <c r="R40" i="19"/>
  <c r="R38" i="19"/>
  <c r="R36" i="19"/>
  <c r="Q46" i="19"/>
  <c r="Q42" i="19"/>
  <c r="Q40" i="19"/>
  <c r="Q38" i="19"/>
  <c r="Q36" i="19"/>
  <c r="N46" i="19"/>
  <c r="N42" i="19"/>
  <c r="N40" i="19"/>
  <c r="N38" i="19"/>
  <c r="N36" i="19"/>
  <c r="M46" i="19"/>
  <c r="M40" i="19"/>
  <c r="M38" i="19"/>
  <c r="M36" i="19"/>
  <c r="R24" i="19"/>
  <c r="R26" i="19"/>
  <c r="Q24" i="19"/>
  <c r="Q26" i="19"/>
  <c r="N26" i="19"/>
  <c r="M24" i="19"/>
  <c r="M26" i="19"/>
  <c r="J24" i="19"/>
  <c r="J26" i="19"/>
  <c r="I24" i="19"/>
  <c r="I26" i="19"/>
  <c r="F24" i="19"/>
  <c r="F26" i="19"/>
  <c r="E24" i="19"/>
  <c r="E26" i="19"/>
  <c r="D28" i="19"/>
  <c r="D26" i="19"/>
  <c r="D24" i="19"/>
  <c r="D32" i="19"/>
  <c r="D34" i="19"/>
  <c r="D21" i="19"/>
  <c r="D80" i="19"/>
  <c r="BP80" i="19" s="1"/>
  <c r="V31" i="11" s="1"/>
  <c r="J19" i="19"/>
  <c r="I19" i="19"/>
  <c r="F9" i="19"/>
  <c r="H6" i="19"/>
  <c r="H4" i="19"/>
  <c r="T18" i="19"/>
  <c r="T17" i="19"/>
  <c r="T16" i="19"/>
  <c r="T15" i="19"/>
  <c r="J20" i="19"/>
  <c r="J16" i="19"/>
  <c r="J15" i="19"/>
  <c r="I16" i="19"/>
  <c r="I15" i="19"/>
  <c r="S21" i="19"/>
  <c r="H8" i="19"/>
  <c r="H7" i="19"/>
  <c r="H5" i="19"/>
  <c r="BP76" i="19"/>
  <c r="V29" i="11" s="1"/>
  <c r="BP78" i="19"/>
  <c r="V30" i="11" s="1"/>
  <c r="D15" i="11"/>
  <c r="O11" i="11"/>
  <c r="P11" i="11" s="1"/>
  <c r="R28" i="19" s="1"/>
  <c r="O10" i="11"/>
  <c r="P10" i="11" s="1"/>
  <c r="Q28" i="19" s="1"/>
  <c r="O9" i="11"/>
  <c r="P9" i="11" s="1"/>
  <c r="N28" i="19" s="1"/>
  <c r="O8" i="11"/>
  <c r="P8" i="11" s="1"/>
  <c r="M28" i="19" s="1"/>
  <c r="O7" i="11"/>
  <c r="P7" i="11" s="1"/>
  <c r="J28" i="19" s="1"/>
  <c r="O6" i="11"/>
  <c r="P6" i="11" s="1"/>
  <c r="I28" i="19" s="1"/>
  <c r="O4" i="11"/>
  <c r="P4" i="11" s="1"/>
  <c r="F5" i="19" s="1"/>
  <c r="O3" i="11"/>
  <c r="P3" i="11" s="1"/>
  <c r="E8" i="19" s="1"/>
  <c r="S10" i="19"/>
  <c r="E16" i="23"/>
  <c r="D8" i="23"/>
  <c r="D9" i="23"/>
  <c r="D10" i="23"/>
  <c r="D11" i="23"/>
  <c r="D12" i="23"/>
  <c r="D13" i="23"/>
  <c r="D14" i="23"/>
  <c r="D15" i="23"/>
  <c r="D16" i="23"/>
  <c r="D17" i="23"/>
  <c r="D18" i="23"/>
  <c r="D19" i="23"/>
  <c r="D20" i="23"/>
  <c r="D21" i="23"/>
  <c r="D22" i="23"/>
  <c r="D23" i="23"/>
  <c r="D24" i="23"/>
  <c r="D25" i="23"/>
  <c r="D26" i="23"/>
  <c r="E26" i="23" s="1"/>
  <c r="D6" i="23"/>
  <c r="E10" i="23" s="1"/>
  <c r="D7" i="23"/>
  <c r="J18" i="19" l="1"/>
  <c r="I18" i="19"/>
  <c r="AC13" i="11"/>
  <c r="AE13" i="11"/>
  <c r="AD13" i="11"/>
  <c r="AF13" i="11"/>
  <c r="AD18" i="11"/>
  <c r="AE18" i="11"/>
  <c r="AC18" i="11"/>
  <c r="AF18" i="11"/>
  <c r="E22" i="23"/>
  <c r="J17" i="19"/>
  <c r="N24" i="19"/>
  <c r="BP24" i="19" s="1"/>
  <c r="F6" i="19"/>
  <c r="E6" i="19"/>
  <c r="AD21" i="11"/>
  <c r="AC21" i="11"/>
  <c r="V21" i="11"/>
  <c r="AE21" i="11"/>
  <c r="AF21" i="11"/>
  <c r="AD29" i="11"/>
  <c r="AC29" i="11"/>
  <c r="AF29" i="11"/>
  <c r="AE29" i="11"/>
  <c r="AC31" i="11"/>
  <c r="AD31" i="11"/>
  <c r="AF31" i="11"/>
  <c r="AE31" i="11"/>
  <c r="AD30" i="11"/>
  <c r="AC30" i="11"/>
  <c r="AF30" i="11"/>
  <c r="AE30" i="11"/>
  <c r="R34" i="19"/>
  <c r="M42" i="19"/>
  <c r="BP42" i="19" s="1"/>
  <c r="I17" i="19"/>
  <c r="I34" i="19"/>
  <c r="N32" i="19"/>
  <c r="F4" i="19"/>
  <c r="Q34" i="19"/>
  <c r="M34" i="19"/>
  <c r="F8" i="19"/>
  <c r="BP8" i="19" s="1"/>
  <c r="Q44" i="19"/>
  <c r="F7" i="19"/>
  <c r="E4" i="19"/>
  <c r="BP74" i="19"/>
  <c r="V26" i="11" s="1"/>
  <c r="E7" i="19"/>
  <c r="M44" i="19"/>
  <c r="R32" i="19"/>
  <c r="Q32" i="19"/>
  <c r="J34" i="19"/>
  <c r="F32" i="19"/>
  <c r="I20" i="19"/>
  <c r="BP20" i="19" s="1"/>
  <c r="E9" i="19"/>
  <c r="BP9" i="19" s="1"/>
  <c r="N44" i="19"/>
  <c r="E34" i="19"/>
  <c r="E5" i="19"/>
  <c r="BP5" i="19" s="1"/>
  <c r="R44" i="19"/>
  <c r="N34" i="19"/>
  <c r="M32" i="19"/>
  <c r="J32" i="19"/>
  <c r="I32" i="19"/>
  <c r="F34" i="19"/>
  <c r="BP46" i="19"/>
  <c r="AA30" i="19"/>
  <c r="BP30" i="19" s="1"/>
  <c r="V5" i="11" s="1"/>
  <c r="AA21" i="19"/>
  <c r="BP40" i="19"/>
  <c r="BP10" i="19"/>
  <c r="BP36" i="19"/>
  <c r="BP38" i="19"/>
  <c r="BP15" i="19"/>
  <c r="BP16" i="19"/>
  <c r="BP19" i="19"/>
  <c r="BP26" i="19"/>
  <c r="F28" i="19"/>
  <c r="E32" i="19"/>
  <c r="E28" i="19"/>
  <c r="E12" i="23"/>
  <c r="E14" i="23"/>
  <c r="BP18" i="19" l="1"/>
  <c r="BP4" i="19"/>
  <c r="BP6" i="19"/>
  <c r="BP17" i="19"/>
  <c r="AC5" i="11"/>
  <c r="AD5" i="11"/>
  <c r="AE5" i="11"/>
  <c r="AF5" i="11"/>
  <c r="AD26" i="11"/>
  <c r="AD27" i="11" s="1"/>
  <c r="AF26" i="11"/>
  <c r="AF27" i="11" s="1"/>
  <c r="Z27" i="11" s="1"/>
  <c r="AE26" i="11"/>
  <c r="AE27" i="11" s="1"/>
  <c r="AC26" i="11"/>
  <c r="AC27" i="11" s="1"/>
  <c r="BP32" i="19"/>
  <c r="V14" i="11" s="1"/>
  <c r="BP7" i="19"/>
  <c r="V27" i="11"/>
  <c r="BP44" i="19"/>
  <c r="V22" i="11" s="1"/>
  <c r="BP34" i="19"/>
  <c r="BP21" i="19"/>
  <c r="BP28" i="19"/>
  <c r="V3" i="11" s="1"/>
  <c r="BP22" i="19" l="1"/>
  <c r="V28" i="11" s="1"/>
  <c r="AE28" i="11" s="1"/>
  <c r="AC22" i="11"/>
  <c r="AC24" i="11" s="1"/>
  <c r="AC25" i="11" s="1"/>
  <c r="W25" i="11" s="1"/>
  <c r="AF22" i="11"/>
  <c r="AF24" i="11" s="1"/>
  <c r="AF25" i="11" s="1"/>
  <c r="Z25" i="11" s="1"/>
  <c r="AE22" i="11"/>
  <c r="AE24" i="11" s="1"/>
  <c r="AE25" i="11" s="1"/>
  <c r="Y25" i="11" s="1"/>
  <c r="V24" i="11"/>
  <c r="V25" i="11" s="1"/>
  <c r="AD22" i="11"/>
  <c r="AD24" i="11" s="1"/>
  <c r="AD25" i="11" s="1"/>
  <c r="AC14" i="11"/>
  <c r="AF14" i="11"/>
  <c r="AD14" i="11"/>
  <c r="AE14" i="11"/>
  <c r="AC3" i="11"/>
  <c r="AF3" i="11"/>
  <c r="AE3" i="11"/>
  <c r="AD3" i="11"/>
  <c r="Y27" i="11"/>
  <c r="BP11" i="19"/>
  <c r="V20" i="11"/>
  <c r="V15" i="11"/>
  <c r="V9" i="11"/>
  <c r="V19" i="11"/>
  <c r="V10" i="11"/>
  <c r="D18" i="3"/>
  <c r="E18" i="3"/>
  <c r="F18" i="3"/>
  <c r="G18" i="3"/>
  <c r="H18" i="3"/>
  <c r="I18" i="3"/>
  <c r="J18" i="3"/>
  <c r="K18" i="3"/>
  <c r="L18" i="3"/>
  <c r="M18" i="3"/>
  <c r="N18" i="3"/>
  <c r="O18" i="3"/>
  <c r="P18" i="3"/>
  <c r="Q18" i="3"/>
  <c r="R18" i="3"/>
  <c r="S18" i="3"/>
  <c r="T18" i="3"/>
  <c r="U18" i="3"/>
  <c r="V18" i="3"/>
  <c r="W18" i="3"/>
  <c r="D7" i="3"/>
  <c r="D17" i="3"/>
  <c r="E17" i="3"/>
  <c r="F17" i="3"/>
  <c r="G17" i="3"/>
  <c r="H17" i="3"/>
  <c r="I17" i="3"/>
  <c r="J17" i="3"/>
  <c r="K17" i="3"/>
  <c r="L17" i="3"/>
  <c r="M17" i="3"/>
  <c r="N17" i="3"/>
  <c r="O17" i="3"/>
  <c r="P17" i="3"/>
  <c r="Q17" i="3"/>
  <c r="R17" i="3"/>
  <c r="S17" i="3"/>
  <c r="T17" i="3"/>
  <c r="U17" i="3"/>
  <c r="V17" i="3"/>
  <c r="W17" i="3"/>
  <c r="D16" i="3"/>
  <c r="E16" i="3"/>
  <c r="F16" i="3"/>
  <c r="G16" i="3"/>
  <c r="H16" i="3"/>
  <c r="I16" i="3"/>
  <c r="J16" i="3"/>
  <c r="K16" i="3"/>
  <c r="L16" i="3"/>
  <c r="M16" i="3"/>
  <c r="N16" i="3"/>
  <c r="O16" i="3"/>
  <c r="P16" i="3"/>
  <c r="Q16" i="3"/>
  <c r="R16" i="3"/>
  <c r="S16" i="3"/>
  <c r="T16" i="3"/>
  <c r="U16" i="3"/>
  <c r="V16" i="3"/>
  <c r="W16" i="3"/>
  <c r="D15" i="3"/>
  <c r="E15" i="3"/>
  <c r="F15" i="3"/>
  <c r="G15" i="3"/>
  <c r="H15" i="3"/>
  <c r="I15" i="3"/>
  <c r="J15" i="3"/>
  <c r="K15" i="3"/>
  <c r="L15" i="3"/>
  <c r="M15" i="3"/>
  <c r="N15" i="3"/>
  <c r="O15" i="3"/>
  <c r="P15" i="3"/>
  <c r="Q15" i="3"/>
  <c r="R15" i="3"/>
  <c r="S15" i="3"/>
  <c r="T15" i="3"/>
  <c r="U15" i="3"/>
  <c r="V15" i="3"/>
  <c r="W15" i="3"/>
  <c r="D13" i="3"/>
  <c r="E13" i="3"/>
  <c r="F13" i="3"/>
  <c r="G13" i="3"/>
  <c r="H13" i="3"/>
  <c r="I13" i="3"/>
  <c r="J13" i="3"/>
  <c r="K13" i="3"/>
  <c r="L13" i="3"/>
  <c r="M13" i="3"/>
  <c r="N13" i="3"/>
  <c r="O13" i="3"/>
  <c r="P13" i="3"/>
  <c r="Q13" i="3"/>
  <c r="R13" i="3"/>
  <c r="S13" i="3"/>
  <c r="T13" i="3"/>
  <c r="U13" i="3"/>
  <c r="V13" i="3"/>
  <c r="W13" i="3"/>
  <c r="D12" i="3"/>
  <c r="E12" i="3"/>
  <c r="F12" i="3"/>
  <c r="G12" i="3"/>
  <c r="H12" i="3"/>
  <c r="I12" i="3"/>
  <c r="J12" i="3"/>
  <c r="K12" i="3"/>
  <c r="L12" i="3"/>
  <c r="M12" i="3"/>
  <c r="N12" i="3"/>
  <c r="O12" i="3"/>
  <c r="P12" i="3"/>
  <c r="Q12" i="3"/>
  <c r="R12" i="3"/>
  <c r="S12" i="3"/>
  <c r="T12" i="3"/>
  <c r="U12" i="3"/>
  <c r="V12" i="3"/>
  <c r="W12" i="3"/>
  <c r="D11" i="3"/>
  <c r="E11" i="3"/>
  <c r="F11" i="3"/>
  <c r="G11" i="3"/>
  <c r="H11" i="3"/>
  <c r="I11" i="3"/>
  <c r="J11" i="3"/>
  <c r="K11" i="3"/>
  <c r="L11" i="3"/>
  <c r="M11" i="3"/>
  <c r="N11" i="3"/>
  <c r="O11" i="3"/>
  <c r="P11" i="3"/>
  <c r="Q11" i="3"/>
  <c r="R11" i="3"/>
  <c r="S11" i="3"/>
  <c r="T11" i="3"/>
  <c r="U11" i="3"/>
  <c r="V11" i="3"/>
  <c r="W11" i="3"/>
  <c r="D10" i="3"/>
  <c r="E10" i="3"/>
  <c r="F10" i="3"/>
  <c r="G10" i="3"/>
  <c r="H10" i="3"/>
  <c r="I10" i="3"/>
  <c r="J10" i="3"/>
  <c r="K10" i="3"/>
  <c r="L10" i="3"/>
  <c r="M10" i="3"/>
  <c r="N10" i="3"/>
  <c r="O10" i="3"/>
  <c r="P10" i="3"/>
  <c r="Q10" i="3"/>
  <c r="R10" i="3"/>
  <c r="S10" i="3"/>
  <c r="T10" i="3"/>
  <c r="U10" i="3"/>
  <c r="V10" i="3"/>
  <c r="W10" i="3"/>
  <c r="D8" i="3"/>
  <c r="E8" i="3"/>
  <c r="F8" i="3"/>
  <c r="G8" i="3"/>
  <c r="H8" i="3"/>
  <c r="I8" i="3"/>
  <c r="J8" i="3"/>
  <c r="K8" i="3"/>
  <c r="L8" i="3"/>
  <c r="M8" i="3"/>
  <c r="N8" i="3"/>
  <c r="O8" i="3"/>
  <c r="P8" i="3"/>
  <c r="Q8" i="3"/>
  <c r="R8" i="3"/>
  <c r="S8" i="3"/>
  <c r="T8" i="3"/>
  <c r="U8" i="3"/>
  <c r="V8" i="3"/>
  <c r="W8" i="3"/>
  <c r="D6" i="3"/>
  <c r="E6" i="3"/>
  <c r="F6" i="3"/>
  <c r="G6" i="3"/>
  <c r="H6" i="3"/>
  <c r="I6" i="3"/>
  <c r="J6" i="3"/>
  <c r="K6" i="3"/>
  <c r="L6" i="3"/>
  <c r="M6" i="3"/>
  <c r="N6" i="3"/>
  <c r="O6" i="3"/>
  <c r="P6" i="3"/>
  <c r="Q6" i="3"/>
  <c r="R6" i="3"/>
  <c r="S6" i="3"/>
  <c r="T6" i="3"/>
  <c r="U6" i="3"/>
  <c r="V6" i="3"/>
  <c r="W6" i="3"/>
  <c r="D5" i="3"/>
  <c r="E5" i="3"/>
  <c r="F5" i="3"/>
  <c r="G5" i="3"/>
  <c r="H5" i="3"/>
  <c r="I5" i="3"/>
  <c r="J5" i="3"/>
  <c r="K5" i="3"/>
  <c r="L5" i="3"/>
  <c r="M5" i="3"/>
  <c r="N5" i="3"/>
  <c r="O5" i="3"/>
  <c r="P5" i="3"/>
  <c r="Q5" i="3"/>
  <c r="R5" i="3"/>
  <c r="S5" i="3"/>
  <c r="T5" i="3"/>
  <c r="U5" i="3"/>
  <c r="V5" i="3"/>
  <c r="W5" i="3"/>
  <c r="X18" i="3"/>
  <c r="X17" i="3"/>
  <c r="X16" i="3"/>
  <c r="X15" i="3"/>
  <c r="X13" i="3"/>
  <c r="X12" i="3"/>
  <c r="X11" i="3"/>
  <c r="X10" i="3"/>
  <c r="X8" i="3"/>
  <c r="X6" i="3"/>
  <c r="X5" i="3"/>
  <c r="X4" i="3"/>
  <c r="E7" i="3"/>
  <c r="F7" i="3"/>
  <c r="G7" i="3"/>
  <c r="H7" i="3"/>
  <c r="I7" i="3"/>
  <c r="J7" i="3"/>
  <c r="K7" i="3"/>
  <c r="L7" i="3"/>
  <c r="M7" i="3"/>
  <c r="N7" i="3"/>
  <c r="O7" i="3"/>
  <c r="P7" i="3"/>
  <c r="Q7" i="3"/>
  <c r="R7" i="3"/>
  <c r="S7" i="3"/>
  <c r="T7" i="3"/>
  <c r="U7" i="3"/>
  <c r="V7" i="3"/>
  <c r="W7" i="3"/>
  <c r="X7" i="3"/>
  <c r="AC28" i="11" l="1"/>
  <c r="AF28" i="11"/>
  <c r="AD28" i="11"/>
  <c r="AC10" i="11"/>
  <c r="AE10" i="11"/>
  <c r="AF10" i="11"/>
  <c r="AD10" i="11"/>
  <c r="AC15" i="11"/>
  <c r="AD15" i="11"/>
  <c r="AF15" i="11"/>
  <c r="AE15" i="11"/>
  <c r="AC20" i="11"/>
  <c r="AE20" i="11"/>
  <c r="AF20" i="11"/>
  <c r="AD20" i="11"/>
  <c r="V2" i="11"/>
  <c r="AC2" i="11" s="1"/>
  <c r="AC4" i="11" s="1"/>
  <c r="BQ11" i="19"/>
  <c r="V4" i="11" s="1"/>
  <c r="AC19" i="11"/>
  <c r="AE19" i="11"/>
  <c r="AF19" i="11"/>
  <c r="AD19" i="11"/>
  <c r="AC9" i="11"/>
  <c r="AE9" i="11"/>
  <c r="AF9" i="11"/>
  <c r="AD9" i="11"/>
  <c r="W29" i="3"/>
  <c r="X29" i="3"/>
  <c r="V29" i="3"/>
  <c r="U29" i="3"/>
  <c r="T29" i="3"/>
  <c r="S29" i="3"/>
  <c r="R29" i="3"/>
  <c r="Q29" i="3"/>
  <c r="P29" i="3"/>
  <c r="O29" i="3"/>
  <c r="N29" i="3"/>
  <c r="M29" i="3"/>
  <c r="L29" i="3"/>
  <c r="K29" i="3"/>
  <c r="J29" i="3"/>
  <c r="I29" i="3"/>
  <c r="H29" i="3"/>
  <c r="G29" i="3"/>
  <c r="F29" i="3"/>
  <c r="E29" i="3"/>
  <c r="D29" i="3"/>
  <c r="X28" i="3"/>
  <c r="W28" i="3"/>
  <c r="V28" i="3"/>
  <c r="U28" i="3"/>
  <c r="T28" i="3"/>
  <c r="S28" i="3"/>
  <c r="R28" i="3"/>
  <c r="Q28" i="3"/>
  <c r="P28" i="3"/>
  <c r="O28" i="3"/>
  <c r="N28" i="3"/>
  <c r="M28" i="3"/>
  <c r="L28" i="3"/>
  <c r="K28" i="3"/>
  <c r="J28" i="3"/>
  <c r="I28" i="3"/>
  <c r="H28" i="3"/>
  <c r="G28" i="3"/>
  <c r="F28" i="3"/>
  <c r="E28" i="3"/>
  <c r="D28" i="3"/>
  <c r="X27" i="3"/>
  <c r="W27" i="3"/>
  <c r="V27" i="3"/>
  <c r="U27" i="3"/>
  <c r="T27" i="3"/>
  <c r="S27" i="3"/>
  <c r="R27" i="3"/>
  <c r="Q27" i="3"/>
  <c r="P27" i="3"/>
  <c r="O27" i="3"/>
  <c r="N27" i="3"/>
  <c r="M27" i="3"/>
  <c r="L27" i="3"/>
  <c r="K27" i="3"/>
  <c r="J27" i="3"/>
  <c r="I27" i="3"/>
  <c r="H27" i="3"/>
  <c r="G27" i="3"/>
  <c r="F27" i="3"/>
  <c r="E27" i="3"/>
  <c r="D27" i="3"/>
  <c r="X26" i="3"/>
  <c r="W26" i="3"/>
  <c r="V26" i="3"/>
  <c r="U26" i="3"/>
  <c r="T26" i="3"/>
  <c r="S26" i="3"/>
  <c r="R26" i="3"/>
  <c r="Q26" i="3"/>
  <c r="P26" i="3"/>
  <c r="O26" i="3"/>
  <c r="N26" i="3"/>
  <c r="M26" i="3"/>
  <c r="L26" i="3"/>
  <c r="K26" i="3"/>
  <c r="J26" i="3"/>
  <c r="I26" i="3"/>
  <c r="H26" i="3"/>
  <c r="G26" i="3"/>
  <c r="F26" i="3"/>
  <c r="E26" i="3"/>
  <c r="D26" i="3"/>
  <c r="X25" i="3"/>
  <c r="W25" i="3"/>
  <c r="V25" i="3"/>
  <c r="U25" i="3"/>
  <c r="T25" i="3"/>
  <c r="S25" i="3"/>
  <c r="R25" i="3"/>
  <c r="Q25" i="3"/>
  <c r="P25" i="3"/>
  <c r="O25" i="3"/>
  <c r="N25" i="3"/>
  <c r="M25" i="3"/>
  <c r="L25" i="3"/>
  <c r="K25" i="3"/>
  <c r="J25" i="3"/>
  <c r="I25" i="3"/>
  <c r="H25" i="3"/>
  <c r="G25" i="3"/>
  <c r="F25" i="3"/>
  <c r="E25" i="3"/>
  <c r="D25" i="3"/>
  <c r="X24" i="3"/>
  <c r="W24" i="3"/>
  <c r="V24" i="3"/>
  <c r="U24" i="3"/>
  <c r="T24" i="3"/>
  <c r="S24" i="3"/>
  <c r="R24" i="3"/>
  <c r="Q24" i="3"/>
  <c r="P24" i="3"/>
  <c r="O24" i="3"/>
  <c r="N24" i="3"/>
  <c r="M24" i="3"/>
  <c r="L24" i="3"/>
  <c r="K24" i="3"/>
  <c r="J24" i="3"/>
  <c r="I24" i="3"/>
  <c r="H24" i="3"/>
  <c r="G24" i="3"/>
  <c r="F24" i="3"/>
  <c r="E24" i="3"/>
  <c r="D24" i="3"/>
  <c r="X23" i="3"/>
  <c r="W23" i="3"/>
  <c r="V23" i="3"/>
  <c r="U23" i="3"/>
  <c r="T23" i="3"/>
  <c r="S23" i="3"/>
  <c r="R23" i="3"/>
  <c r="Q23" i="3"/>
  <c r="P23" i="3"/>
  <c r="O23" i="3"/>
  <c r="N23" i="3"/>
  <c r="M23" i="3"/>
  <c r="L23" i="3"/>
  <c r="K23" i="3"/>
  <c r="J23" i="3"/>
  <c r="I23" i="3"/>
  <c r="H23" i="3"/>
  <c r="G23" i="3"/>
  <c r="F23" i="3"/>
  <c r="E23" i="3"/>
  <c r="D23" i="3"/>
  <c r="X22" i="3"/>
  <c r="W22" i="3"/>
  <c r="V22" i="3"/>
  <c r="U22" i="3"/>
  <c r="T22" i="3"/>
  <c r="S22" i="3"/>
  <c r="R22" i="3"/>
  <c r="Q22" i="3"/>
  <c r="P22" i="3"/>
  <c r="O22" i="3"/>
  <c r="N22" i="3"/>
  <c r="M22" i="3"/>
  <c r="L22" i="3"/>
  <c r="K22" i="3"/>
  <c r="J22" i="3"/>
  <c r="I22" i="3"/>
  <c r="H22" i="3"/>
  <c r="G22" i="3"/>
  <c r="F22" i="3"/>
  <c r="E22" i="3"/>
  <c r="D22" i="3"/>
  <c r="X21" i="3"/>
  <c r="W21" i="3"/>
  <c r="V21" i="3"/>
  <c r="U21" i="3"/>
  <c r="T21" i="3"/>
  <c r="S21" i="3"/>
  <c r="R21" i="3"/>
  <c r="Q21" i="3"/>
  <c r="P21" i="3"/>
  <c r="O21" i="3"/>
  <c r="N21" i="3"/>
  <c r="M21" i="3"/>
  <c r="L21" i="3"/>
  <c r="K21" i="3"/>
  <c r="J21" i="3"/>
  <c r="I21" i="3"/>
  <c r="H21" i="3"/>
  <c r="G21" i="3"/>
  <c r="F21" i="3"/>
  <c r="E21" i="3"/>
  <c r="D21" i="3"/>
  <c r="X20" i="3"/>
  <c r="W20" i="3"/>
  <c r="V20" i="3"/>
  <c r="U20" i="3"/>
  <c r="T20" i="3"/>
  <c r="S20" i="3"/>
  <c r="R20" i="3"/>
  <c r="Q20" i="3"/>
  <c r="P20" i="3"/>
  <c r="O20" i="3"/>
  <c r="N20" i="3"/>
  <c r="M20" i="3"/>
  <c r="L20" i="3"/>
  <c r="K20" i="3"/>
  <c r="J20" i="3"/>
  <c r="I20" i="3"/>
  <c r="H20" i="3"/>
  <c r="G20" i="3"/>
  <c r="F20" i="3"/>
  <c r="E20" i="3"/>
  <c r="D20" i="3"/>
  <c r="X19" i="3"/>
  <c r="W19" i="3"/>
  <c r="V19" i="3"/>
  <c r="U19" i="3"/>
  <c r="T19" i="3"/>
  <c r="S19" i="3"/>
  <c r="R19" i="3"/>
  <c r="Q19" i="3"/>
  <c r="P19" i="3"/>
  <c r="O19" i="3"/>
  <c r="N19" i="3"/>
  <c r="M19" i="3"/>
  <c r="L19" i="3"/>
  <c r="K19" i="3"/>
  <c r="J19" i="3"/>
  <c r="I19" i="3"/>
  <c r="H19" i="3"/>
  <c r="G19" i="3"/>
  <c r="F19" i="3"/>
  <c r="E19" i="3"/>
  <c r="D19" i="3"/>
  <c r="X14" i="3"/>
  <c r="W14" i="3"/>
  <c r="V14" i="3"/>
  <c r="U14" i="3"/>
  <c r="T14" i="3"/>
  <c r="S14" i="3"/>
  <c r="R14" i="3"/>
  <c r="Q14" i="3"/>
  <c r="P14" i="3"/>
  <c r="O14" i="3"/>
  <c r="N14" i="3"/>
  <c r="M14" i="3"/>
  <c r="L14" i="3"/>
  <c r="K14" i="3"/>
  <c r="J14" i="3"/>
  <c r="I14" i="3"/>
  <c r="H14" i="3"/>
  <c r="G14" i="3"/>
  <c r="F14" i="3"/>
  <c r="E14" i="3"/>
  <c r="D14" i="3"/>
  <c r="X9" i="3"/>
  <c r="W9" i="3"/>
  <c r="V9" i="3"/>
  <c r="U9" i="3"/>
  <c r="T9" i="3"/>
  <c r="S9" i="3"/>
  <c r="R9" i="3"/>
  <c r="Q9" i="3"/>
  <c r="P9" i="3"/>
  <c r="O9" i="3"/>
  <c r="N9" i="3"/>
  <c r="M9" i="3"/>
  <c r="L9" i="3"/>
  <c r="K9" i="3"/>
  <c r="J9" i="3"/>
  <c r="I9" i="3"/>
  <c r="H9" i="3"/>
  <c r="G9" i="3"/>
  <c r="F9" i="3"/>
  <c r="E9" i="3"/>
  <c r="D9" i="3"/>
  <c r="W4" i="3"/>
  <c r="V4" i="3"/>
  <c r="U4" i="3"/>
  <c r="T4" i="3"/>
  <c r="S4" i="3"/>
  <c r="R4" i="3"/>
  <c r="Q4" i="3"/>
  <c r="P4" i="3"/>
  <c r="O4" i="3"/>
  <c r="N4" i="3"/>
  <c r="M4" i="3"/>
  <c r="L4" i="3"/>
  <c r="K4" i="3"/>
  <c r="J4" i="3"/>
  <c r="I4" i="3"/>
  <c r="H4" i="3"/>
  <c r="G4" i="3"/>
  <c r="F4" i="3"/>
  <c r="E4" i="3"/>
  <c r="D4" i="3"/>
  <c r="AE2" i="11" l="1"/>
  <c r="AE4" i="11" s="1"/>
  <c r="AF2" i="11"/>
  <c r="AF4" i="11" s="1"/>
  <c r="AD2" i="11"/>
  <c r="AD4" i="11" s="1"/>
  <c r="W42" i="11"/>
  <c r="W44" i="11" s="1"/>
  <c r="W50" i="11"/>
  <c r="W43" i="11"/>
  <c r="W49" i="11"/>
  <c r="W51" i="11" s="1"/>
  <c r="W36" i="11"/>
  <c r="V50" i="11"/>
  <c r="V35" i="11"/>
  <c r="V37" i="11" s="1"/>
  <c r="V43" i="11"/>
  <c r="O27" i="11" s="1"/>
  <c r="V42" i="11"/>
  <c r="V44" i="11" s="1"/>
  <c r="O28" i="11" s="1"/>
  <c r="V36" i="11"/>
  <c r="O24" i="11" s="1"/>
  <c r="V49" i="11"/>
  <c r="V51" i="11" s="1"/>
  <c r="O31" i="11" s="1"/>
  <c r="X25" i="11"/>
  <c r="W35" i="11"/>
  <c r="W37" i="11" s="1"/>
  <c r="V60" i="11"/>
  <c r="W59" i="11"/>
  <c r="W61" i="11" s="1"/>
  <c r="W60" i="11"/>
  <c r="V59" i="11"/>
  <c r="V61" i="11" s="1"/>
  <c r="X49" i="11" l="1"/>
  <c r="X51" i="11" s="1"/>
  <c r="X43" i="11"/>
  <c r="X46" i="11" s="1"/>
  <c r="X42" i="11"/>
  <c r="X44" i="11" s="1"/>
  <c r="X36" i="11"/>
  <c r="X39" i="11" s="1"/>
  <c r="X50" i="11"/>
  <c r="X52" i="11" s="1"/>
  <c r="O23" i="11"/>
  <c r="Q23" i="11" s="1"/>
  <c r="Z50" i="11"/>
  <c r="Z53" i="11" s="1"/>
  <c r="Z36" i="11"/>
  <c r="Z39" i="11" s="1"/>
  <c r="Z49" i="11"/>
  <c r="Z51" i="11" s="1"/>
  <c r="Z42" i="11"/>
  <c r="Z44" i="11" s="1"/>
  <c r="Z43" i="11"/>
  <c r="Z45" i="11" s="1"/>
  <c r="Z35" i="11"/>
  <c r="Z37" i="11" s="1"/>
  <c r="Y49" i="11"/>
  <c r="Y51" i="11" s="1"/>
  <c r="Y50" i="11"/>
  <c r="Y53" i="11" s="1"/>
  <c r="Y36" i="11"/>
  <c r="Y42" i="11"/>
  <c r="Y44" i="11" s="1"/>
  <c r="Y43" i="11"/>
  <c r="Y35" i="11"/>
  <c r="Y37" i="11" s="1"/>
  <c r="O30" i="11"/>
  <c r="Q46" i="11" s="1"/>
  <c r="W52" i="11"/>
  <c r="Q24" i="11"/>
  <c r="Q43" i="11"/>
  <c r="Q44" i="11"/>
  <c r="Q47" i="11"/>
  <c r="W38" i="11"/>
  <c r="O25" i="11"/>
  <c r="Q25" i="11" s="1"/>
  <c r="O26" i="11"/>
  <c r="Q42" i="11" s="1"/>
  <c r="O29" i="11"/>
  <c r="Q45" i="11" s="1"/>
  <c r="W45" i="11"/>
  <c r="W27" i="11"/>
  <c r="X35" i="11"/>
  <c r="X37" i="11" s="1"/>
  <c r="X27" i="11"/>
  <c r="X45" i="11" l="1"/>
  <c r="Y40" i="11"/>
  <c r="X38" i="11"/>
  <c r="Z38" i="11"/>
  <c r="Y47" i="11"/>
  <c r="Z54" i="11"/>
  <c r="Z52" i="11"/>
  <c r="Y54" i="11"/>
  <c r="Y39" i="11"/>
  <c r="Y45" i="11"/>
  <c r="X53" i="11"/>
  <c r="Z48" i="11"/>
  <c r="Z47" i="11"/>
  <c r="Z46" i="11"/>
  <c r="Y38" i="11"/>
  <c r="Y46" i="11"/>
  <c r="Z41" i="11"/>
  <c r="Z40" i="11"/>
  <c r="Y52" i="11"/>
  <c r="Z55" i="1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m86829</author>
  </authors>
  <commentList>
    <comment ref="O17" authorId="0" shapeId="0" xr:uid="{3AA24196-B408-4B6D-B430-C1024A2FF39A}">
      <text>
        <r>
          <rPr>
            <b/>
            <sz val="9"/>
            <color indexed="81"/>
            <rFont val="細明體"/>
            <family val="3"/>
            <charset val="136"/>
          </rPr>
          <t>火:麻辣大招+被動扣11
水:泡泡糖大招扣10(4星共扣15)
風:大蕉技能扣8(2星大招多扣10)
土:麻花捲大招扣10
光:魔法師攻擊命中扣8(2星共扣12)
暗:鍊金攻擊命中共扣6.25(5層)大招多3層</t>
        </r>
      </text>
    </comment>
    <comment ref="W32" authorId="0" shapeId="0" xr:uid="{06A1FBFA-A7D8-431C-A42D-F1253A9B8950}">
      <text>
        <r>
          <rPr>
            <b/>
            <sz val="9"/>
            <color indexed="81"/>
            <rFont val="細明體"/>
            <family val="3"/>
            <charset val="136"/>
          </rPr>
          <t>預設值為原本</t>
        </r>
        <r>
          <rPr>
            <b/>
            <sz val="9"/>
            <color indexed="81"/>
            <rFont val="Tahoma"/>
            <family val="2"/>
          </rPr>
          <t>V2</t>
        </r>
        <r>
          <rPr>
            <b/>
            <sz val="9"/>
            <color indexed="81"/>
            <rFont val="細明體"/>
            <family val="3"/>
            <charset val="136"/>
          </rPr>
          <t>至</t>
        </r>
        <r>
          <rPr>
            <b/>
            <sz val="9"/>
            <color indexed="81"/>
            <rFont val="Tahoma"/>
            <family val="2"/>
          </rPr>
          <t>V</t>
        </r>
        <r>
          <rPr>
            <b/>
            <sz val="9"/>
            <color indexed="81"/>
            <rFont val="細明體"/>
            <family val="3"/>
            <charset val="136"/>
          </rPr>
          <t>15值，只需填入你想比較的某一屬性的值，就可看到差距。</t>
        </r>
      </text>
    </comment>
    <comment ref="X32" authorId="0" shapeId="0" xr:uid="{4FCB6A48-59A4-43AF-A554-82F75DE5202F}">
      <text>
        <r>
          <rPr>
            <b/>
            <sz val="9"/>
            <color indexed="81"/>
            <rFont val="細明體"/>
            <family val="3"/>
            <charset val="136"/>
          </rPr>
          <t>預設值為原本</t>
        </r>
        <r>
          <rPr>
            <b/>
            <sz val="9"/>
            <color indexed="81"/>
            <rFont val="Tahoma"/>
            <family val="2"/>
          </rPr>
          <t>V2</t>
        </r>
        <r>
          <rPr>
            <b/>
            <sz val="9"/>
            <color indexed="81"/>
            <rFont val="細明體"/>
            <family val="3"/>
            <charset val="136"/>
          </rPr>
          <t>至</t>
        </r>
        <r>
          <rPr>
            <b/>
            <sz val="9"/>
            <color indexed="81"/>
            <rFont val="Tahoma"/>
            <family val="2"/>
          </rPr>
          <t>V</t>
        </r>
        <r>
          <rPr>
            <b/>
            <sz val="9"/>
            <color indexed="81"/>
            <rFont val="細明體"/>
            <family val="3"/>
            <charset val="136"/>
          </rPr>
          <t>15值，只需填入你想比較的某一屬性的值，就可看到差距。</t>
        </r>
      </text>
    </comment>
    <comment ref="Y32" authorId="0" shapeId="0" xr:uid="{CCDD8D8D-F1E1-4DB0-942A-5F46D91C7057}">
      <text>
        <r>
          <rPr>
            <b/>
            <sz val="9"/>
            <color indexed="81"/>
            <rFont val="細明體"/>
            <family val="3"/>
            <charset val="136"/>
          </rPr>
          <t>預設值為原本</t>
        </r>
        <r>
          <rPr>
            <b/>
            <sz val="9"/>
            <color indexed="81"/>
            <rFont val="Tahoma"/>
            <family val="2"/>
          </rPr>
          <t>V2</t>
        </r>
        <r>
          <rPr>
            <b/>
            <sz val="9"/>
            <color indexed="81"/>
            <rFont val="細明體"/>
            <family val="3"/>
            <charset val="136"/>
          </rPr>
          <t>至</t>
        </r>
        <r>
          <rPr>
            <b/>
            <sz val="9"/>
            <color indexed="81"/>
            <rFont val="Tahoma"/>
            <family val="2"/>
          </rPr>
          <t>V</t>
        </r>
        <r>
          <rPr>
            <b/>
            <sz val="9"/>
            <color indexed="81"/>
            <rFont val="細明體"/>
            <family val="3"/>
            <charset val="136"/>
          </rPr>
          <t>15值，只需填入你想比較的某一屬性的值，就可看到差距。</t>
        </r>
      </text>
    </comment>
    <comment ref="Z32" authorId="0" shapeId="0" xr:uid="{A2F8F966-5EAA-4412-BBB0-6BF10C53AD92}">
      <text>
        <r>
          <rPr>
            <b/>
            <sz val="9"/>
            <color indexed="81"/>
            <rFont val="細明體"/>
            <family val="3"/>
            <charset val="136"/>
          </rPr>
          <t>預設值為原本</t>
        </r>
        <r>
          <rPr>
            <b/>
            <sz val="9"/>
            <color indexed="81"/>
            <rFont val="Tahoma"/>
            <family val="2"/>
          </rPr>
          <t>V2</t>
        </r>
        <r>
          <rPr>
            <b/>
            <sz val="9"/>
            <color indexed="81"/>
            <rFont val="細明體"/>
            <family val="3"/>
            <charset val="136"/>
          </rPr>
          <t>至</t>
        </r>
        <r>
          <rPr>
            <b/>
            <sz val="9"/>
            <color indexed="81"/>
            <rFont val="Tahoma"/>
            <family val="2"/>
          </rPr>
          <t>V</t>
        </r>
        <r>
          <rPr>
            <b/>
            <sz val="9"/>
            <color indexed="81"/>
            <rFont val="細明體"/>
            <family val="3"/>
            <charset val="136"/>
          </rPr>
          <t>15值，只需填入你想比較的某一屬性的值，就可看到差距。</t>
        </r>
      </text>
    </comment>
    <comment ref="D46" authorId="0" shapeId="0" xr:uid="{D13DB75D-B6C5-4F13-8BDE-7F214F5E11FA}">
      <text>
        <r>
          <rPr>
            <b/>
            <sz val="9"/>
            <color indexed="81"/>
            <rFont val="細明體"/>
            <family val="3"/>
            <charset val="136"/>
          </rPr>
          <t>狼人法寶卡</t>
        </r>
      </text>
    </comment>
    <comment ref="D48" authorId="0" shapeId="0" xr:uid="{BC1089F9-D73F-41BF-8740-E72E7BE7C07E}">
      <text>
        <r>
          <rPr>
            <b/>
            <sz val="9"/>
            <color indexed="81"/>
            <rFont val="細明體"/>
            <family val="3"/>
            <charset val="136"/>
          </rPr>
          <t>大蕉法寶卡</t>
        </r>
      </text>
    </comment>
    <comment ref="D50" authorId="0" shapeId="0" xr:uid="{7372B809-1ACB-402B-859D-9DCB140072F6}">
      <text>
        <r>
          <rPr>
            <b/>
            <sz val="9"/>
            <color indexed="81"/>
            <rFont val="細明體"/>
            <family val="3"/>
            <charset val="136"/>
          </rPr>
          <t>忍者法寶卡</t>
        </r>
      </text>
    </comment>
    <comment ref="D51" authorId="0" shapeId="0" xr:uid="{D7A07D18-4693-4270-86A1-0EB93D9CFBAE}">
      <text>
        <r>
          <rPr>
            <b/>
            <sz val="9"/>
            <color indexed="81"/>
            <rFont val="細明體"/>
            <family val="3"/>
            <charset val="136"/>
          </rPr>
          <t>光的另一端法寶卡</t>
        </r>
      </text>
    </comment>
    <comment ref="D52" authorId="0" shapeId="0" xr:uid="{C0936693-466A-4463-ADF6-13CEBA88FCF9}">
      <text>
        <r>
          <rPr>
            <b/>
            <sz val="9"/>
            <color indexed="81"/>
            <rFont val="細明體"/>
            <family val="3"/>
            <charset val="136"/>
          </rPr>
          <t>哈拉帕辣椒法寶卡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m86829</author>
  </authors>
  <commentList>
    <comment ref="V3" authorId="0" shapeId="0" xr:uid="{9412FACB-7A4C-4355-ADFF-94D49042CB8C}">
      <text>
        <r>
          <rPr>
            <sz val="9"/>
            <color indexed="81"/>
            <rFont val="MiSans"/>
          </rPr>
          <t>午夜的華爾滋</t>
        </r>
      </text>
    </comment>
    <comment ref="W3" authorId="0" shapeId="0" xr:uid="{8CE75284-BB2F-48A2-AC4A-01FB15C21680}">
      <text>
        <r>
          <rPr>
            <sz val="9"/>
            <color indexed="81"/>
            <rFont val="MiSans"/>
          </rPr>
          <t>下午茶</t>
        </r>
      </text>
    </comment>
    <comment ref="X3" authorId="0" shapeId="0" xr:uid="{AABB6F80-C63A-43D4-8ACE-E11E656B99A6}">
      <text>
        <r>
          <rPr>
            <sz val="9"/>
            <color indexed="81"/>
            <rFont val="MiSans"/>
          </rPr>
          <t>快樂巡邏時間</t>
        </r>
      </text>
    </comment>
    <comment ref="Y3" authorId="0" shapeId="0" xr:uid="{E91648C6-7370-44A6-8A57-38EC0025C10B}">
      <text>
        <r>
          <rPr>
            <sz val="9"/>
            <color indexed="81"/>
            <rFont val="MiSans"/>
          </rPr>
          <t>穿透之光</t>
        </r>
      </text>
    </comment>
    <comment ref="Z3" authorId="0" shapeId="0" xr:uid="{931B62FA-E453-4897-A763-1A196D85990E}">
      <text>
        <r>
          <rPr>
            <sz val="9"/>
            <color indexed="81"/>
            <rFont val="MiSans"/>
          </rPr>
          <t>黃昏追擊戰</t>
        </r>
      </text>
    </comment>
    <comment ref="AA3" authorId="0" shapeId="0" xr:uid="{CC961C9F-06B2-48B9-A9AE-C5CE9BE3B04D}">
      <text>
        <r>
          <rPr>
            <sz val="9"/>
            <color indexed="81"/>
            <rFont val="MiSans"/>
          </rPr>
          <t>被喚醒的回憶</t>
        </r>
      </text>
    </comment>
    <comment ref="AB3" authorId="0" shapeId="0" xr:uid="{C07D4E44-C81B-42BD-A881-9BA559A1EB96}">
      <text>
        <r>
          <rPr>
            <sz val="9"/>
            <color indexed="81"/>
            <rFont val="MiSans"/>
          </rPr>
          <t>被遺忘的魔法書的秘密</t>
        </r>
      </text>
    </comment>
    <comment ref="AC3" authorId="0" shapeId="0" xr:uid="{C8BD92C3-F155-41D7-87A5-8375B3E7015B}">
      <text>
        <r>
          <rPr>
            <sz val="9"/>
            <color indexed="81"/>
            <rFont val="MiSans"/>
          </rPr>
          <t>努力的成果</t>
        </r>
      </text>
    </comment>
    <comment ref="AD3" authorId="0" shapeId="0" xr:uid="{08564119-F4A5-4A6B-8FA2-A842632F4AE6}">
      <text>
        <r>
          <rPr>
            <sz val="9"/>
            <color indexed="81"/>
            <rFont val="MiSans"/>
          </rPr>
          <t>無法回頭的選擇</t>
        </r>
      </text>
    </comment>
    <comment ref="AE3" authorId="0" shapeId="0" xr:uid="{7A65515D-CAF0-42B1-AD13-EDD6FFBB5C0D}">
      <text>
        <r>
          <rPr>
            <sz val="9"/>
            <color indexed="81"/>
            <rFont val="MiSans"/>
          </rPr>
          <t>作戰開始</t>
        </r>
      </text>
    </comment>
    <comment ref="AF3" authorId="0" shapeId="0" xr:uid="{09974364-DACE-421B-AD66-6641AC245011}">
      <text>
        <r>
          <rPr>
            <sz val="9"/>
            <color indexed="81"/>
            <rFont val="MiSans"/>
          </rPr>
          <t>頭好壯壯吃飽飽</t>
        </r>
      </text>
    </comment>
    <comment ref="AG3" authorId="0" shapeId="0" xr:uid="{2283AE83-C270-4A7B-8FB0-39B9A2E3E93E}">
      <text>
        <r>
          <rPr>
            <sz val="9"/>
            <color indexed="81"/>
            <rFont val="MiSans"/>
          </rPr>
          <t xml:space="preserve">嗜辣一族 </t>
        </r>
      </text>
    </comment>
    <comment ref="AH3" authorId="0" shapeId="0" xr:uid="{F758E236-6FA5-460D-A85E-1CDFD8B01E39}">
      <text>
        <r>
          <rPr>
            <sz val="9"/>
            <color indexed="81"/>
            <rFont val="MiSans"/>
          </rPr>
          <t>安可表演</t>
        </r>
      </text>
    </comment>
    <comment ref="AI3" authorId="0" shapeId="0" xr:uid="{B210223E-BA3A-45CB-8E22-A80B08ED3552}">
      <text>
        <r>
          <rPr>
            <sz val="9"/>
            <color indexed="81"/>
            <rFont val="MiSans"/>
          </rPr>
          <t>非凡的誕生</t>
        </r>
      </text>
    </comment>
    <comment ref="AJ3" authorId="0" shapeId="0" xr:uid="{C266B1B1-C481-4156-BA66-74F70F4349E3}">
      <text>
        <r>
          <rPr>
            <sz val="9"/>
            <color indexed="81"/>
            <rFont val="MiSans"/>
          </rPr>
          <t>光的另一端</t>
        </r>
      </text>
    </comment>
    <comment ref="AP3" authorId="0" shapeId="0" xr:uid="{49CCE67C-C3EF-405C-9754-428DF450100B}">
      <text>
        <r>
          <rPr>
            <sz val="9"/>
            <color indexed="81"/>
            <rFont val="MiSans"/>
          </rPr>
          <t>新的組合公式</t>
        </r>
      </text>
    </comment>
    <comment ref="AQ3" authorId="0" shapeId="0" xr:uid="{DA599F07-B032-4D7C-A5BD-3D863CBBFF92}">
      <text>
        <r>
          <rPr>
            <sz val="9"/>
            <color indexed="81"/>
            <rFont val="MiSans"/>
          </rPr>
          <t>修練之路</t>
        </r>
      </text>
    </comment>
    <comment ref="AR3" authorId="0" shapeId="0" xr:uid="{7D3C2936-9F72-4882-B8F5-2C3406BE6C74}">
      <text>
        <r>
          <rPr>
            <sz val="9"/>
            <color indexed="81"/>
            <rFont val="MiSans"/>
          </rPr>
          <t>香甜爆炸</t>
        </r>
      </text>
    </comment>
    <comment ref="AS3" authorId="0" shapeId="0" xr:uid="{E0A2EF09-A1B0-4990-A362-77E616EB894C}">
      <text>
        <r>
          <rPr>
            <sz val="9"/>
            <color indexed="81"/>
            <rFont val="MiSans"/>
          </rPr>
          <t>藝術家的創作時間</t>
        </r>
      </text>
    </comment>
    <comment ref="AT3" authorId="0" shapeId="0" xr:uid="{A2AE1E0B-BCBD-4D3E-BCC4-35A76AC02BA9}">
      <text>
        <r>
          <rPr>
            <sz val="9"/>
            <color indexed="81"/>
            <rFont val="MiSans"/>
          </rPr>
          <t>聖杯的誓言</t>
        </r>
      </text>
    </comment>
    <comment ref="AU3" authorId="0" shapeId="0" xr:uid="{4899CF54-B7AF-437C-B383-8C99AB8277CC}">
      <text>
        <r>
          <rPr>
            <sz val="9"/>
            <color indexed="81"/>
            <rFont val="MiSans"/>
          </rPr>
          <t>暖身</t>
        </r>
      </text>
    </comment>
    <comment ref="AV3" authorId="0" shapeId="0" xr:uid="{459EBBE3-E8F5-4A36-AB3A-78DBE9DC5341}">
      <text>
        <r>
          <rPr>
            <sz val="9"/>
            <color indexed="81"/>
            <rFont val="MiSans"/>
          </rPr>
          <t>孤獨月夜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m86829</author>
  </authors>
  <commentList>
    <comment ref="C4" authorId="0" shapeId="0" xr:uid="{D9322545-2A97-4DF4-8C46-D6EFC7945F86}">
      <text/>
    </comment>
    <comment ref="D4" authorId="0" shapeId="0" xr:uid="{70D6CA89-4955-4DC7-9B90-8DE300F5723E}">
      <text/>
    </comment>
    <comment ref="C5" authorId="0" shapeId="0" xr:uid="{7E1C4B41-F84F-4590-848C-F86FA3F0B63F}">
      <text/>
    </comment>
    <comment ref="D5" authorId="0" shapeId="0" xr:uid="{11EC807E-D120-4A3E-8A78-B6811C7481BB}">
      <text/>
    </comment>
    <comment ref="C7" authorId="0" shapeId="0" xr:uid="{EC09ECD1-382A-4FA1-9F03-DE3C534E4333}">
      <text/>
    </comment>
    <comment ref="D7" authorId="0" shapeId="0" xr:uid="{4D108176-92EB-466B-8269-7FBEA41B5EFD}">
      <text/>
    </comment>
    <comment ref="C9" authorId="0" shapeId="0" xr:uid="{CF553261-C83C-4BA0-A707-062125302316}">
      <text/>
    </comment>
    <comment ref="D9" authorId="0" shapeId="0" xr:uid="{8B0D19D2-3555-4FC4-83F9-5FED16193479}">
      <text/>
    </comment>
    <comment ref="C10" authorId="0" shapeId="0" xr:uid="{EC4A6F2C-FAB9-4A80-B828-B7C2EEF20F43}">
      <text/>
    </comment>
    <comment ref="D10" authorId="0" shapeId="0" xr:uid="{7B7B52D1-A0CE-4300-A379-4E990D82E387}">
      <text/>
    </comment>
    <comment ref="C12" authorId="0" shapeId="0" xr:uid="{8C061DE8-4942-4B53-8A9E-26283C942C14}">
      <text/>
    </comment>
    <comment ref="D12" authorId="0" shapeId="0" xr:uid="{DABBBD97-BC64-463C-BE22-F7E94BCD9019}">
      <text/>
    </comment>
    <comment ref="C14" authorId="0" shapeId="0" xr:uid="{972BA1C9-9342-44AB-8E2C-2544BDA87319}">
      <text/>
    </comment>
    <comment ref="D14" authorId="0" shapeId="0" xr:uid="{764B8D5E-2352-4085-ACA0-9AEB628BCA7C}">
      <text/>
    </comment>
    <comment ref="C16" authorId="0" shapeId="0" xr:uid="{279E01C6-D652-4A9C-8783-7E77F8E91BC3}">
      <text/>
    </comment>
    <comment ref="D16" authorId="0" shapeId="0" xr:uid="{C6CFFF40-E37F-4CB7-A7D6-7F583877F9A2}">
      <text/>
    </comment>
    <comment ref="C18" authorId="0" shapeId="0" xr:uid="{DBB01123-5792-4643-B47A-E7476AF552F4}">
      <text/>
    </comment>
    <comment ref="D18" authorId="0" shapeId="0" xr:uid="{540A6967-EAD7-4143-A73C-169107F93E45}">
      <text/>
    </comment>
    <comment ref="C20" authorId="0" shapeId="0" xr:uid="{8C917A36-560F-48F1-ACE0-C6F0712DA43D}">
      <text/>
    </comment>
    <comment ref="D20" authorId="0" shapeId="0" xr:uid="{2A6BCF2A-996A-4410-80A1-0442D1B4B3BB}">
      <text/>
    </comment>
    <comment ref="C22" authorId="0" shapeId="0" xr:uid="{F6F1AF41-B666-4CA8-BFF2-7966D8508F41}">
      <text/>
    </comment>
    <comment ref="D22" authorId="0" shapeId="0" xr:uid="{71F62975-1546-49CB-8CD2-4EB68F3F5836}">
      <text/>
    </comment>
    <comment ref="C23" authorId="0" shapeId="0" xr:uid="{1DA383A4-B317-481E-8A49-D8ED2BC0BDC5}">
      <text/>
    </comment>
    <comment ref="D23" authorId="0" shapeId="0" xr:uid="{FF5BABB3-F9FB-454C-8A11-7677CB4534FA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C25" authorId="0" shapeId="0" xr:uid="{A9D00AE7-FBFE-4BA2-B049-E9C3FBAD6629}">
      <text/>
    </comment>
    <comment ref="D25" authorId="0" shapeId="0" xr:uid="{99BD43DF-7CB4-448C-AC54-F225A8E5CA1C}">
      <text/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m86829</author>
  </authors>
  <commentList>
    <comment ref="G5" authorId="0" shapeId="0" xr:uid="{72244ABC-867F-49CE-AA53-4FFEFB1E5EF2}">
      <text>
        <r>
          <rPr>
            <sz val="9"/>
            <color indexed="81"/>
            <rFont val="MiSans"/>
          </rPr>
          <t>開場給4層蓄力條，只需要蓄力一次就可有極度孤獨狀態。進場後攻擊力變50%。</t>
        </r>
      </text>
    </comment>
    <comment ref="H5" authorId="0" shapeId="0" xr:uid="{934FD3AD-BE4B-4EB8-941D-94FF56893825}">
      <text>
        <r>
          <rPr>
            <b/>
            <sz val="9"/>
            <color indexed="81"/>
            <rFont val="細明體"/>
            <family val="3"/>
            <charset val="136"/>
          </rPr>
          <t>特殊技能有二段傷害</t>
        </r>
      </text>
    </comment>
    <comment ref="I5" authorId="0" shapeId="0" xr:uid="{975AA419-E405-4CC4-B3C2-D4B4F24D4DB3}">
      <text>
        <r>
          <rPr>
            <b/>
            <sz val="9"/>
            <color indexed="81"/>
            <rFont val="細明體"/>
            <family val="3"/>
            <charset val="136"/>
          </rPr>
          <t>絕招防禦力穿透</t>
        </r>
      </text>
    </comment>
  </commentList>
</comments>
</file>

<file path=xl/sharedStrings.xml><?xml version="1.0" encoding="utf-8"?>
<sst xmlns="http://schemas.openxmlformats.org/spreadsheetml/2006/main" count="1531" uniqueCount="695">
  <si>
    <t>攻擊力</t>
    <phoneticPr fontId="1" type="noConversion"/>
  </si>
  <si>
    <t>暴率</t>
    <phoneticPr fontId="1" type="noConversion"/>
  </si>
  <si>
    <t>最終傷害</t>
    <phoneticPr fontId="1" type="noConversion"/>
  </si>
  <si>
    <t>暴擊機率</t>
    <phoneticPr fontId="1" type="noConversion"/>
  </si>
  <si>
    <t>武器</t>
    <phoneticPr fontId="1" type="noConversion"/>
  </si>
  <si>
    <t>防禦穿透</t>
    <phoneticPr fontId="1" type="noConversion"/>
  </si>
  <si>
    <t>黑麥</t>
    <phoneticPr fontId="1" type="noConversion"/>
  </si>
  <si>
    <t>面板攻擊力</t>
    <phoneticPr fontId="1" type="noConversion"/>
  </si>
  <si>
    <t>原始攻擊力</t>
    <phoneticPr fontId="1" type="noConversion"/>
  </si>
  <si>
    <t>屬性攻擊力</t>
    <phoneticPr fontId="1" type="noConversion"/>
  </si>
  <si>
    <t>暴傷</t>
    <phoneticPr fontId="1" type="noConversion"/>
  </si>
  <si>
    <t>無法回頭的選擇</t>
    <phoneticPr fontId="1" type="noConversion"/>
  </si>
  <si>
    <t>攻擊力%</t>
    <phoneticPr fontId="1" type="noConversion"/>
  </si>
  <si>
    <t>黃昏追擊戰</t>
    <phoneticPr fontId="1" type="noConversion"/>
  </si>
  <si>
    <t>角色</t>
    <phoneticPr fontId="1" type="noConversion"/>
  </si>
  <si>
    <t>黑巧克力</t>
    <phoneticPr fontId="1" type="noConversion"/>
  </si>
  <si>
    <t>奶油蘇打</t>
    <phoneticPr fontId="1" type="noConversion"/>
  </si>
  <si>
    <t>檸檬皮</t>
    <phoneticPr fontId="1" type="noConversion"/>
  </si>
  <si>
    <t>搖滾巨星</t>
    <phoneticPr fontId="1" type="noConversion"/>
  </si>
  <si>
    <t>辣椒碎片</t>
    <phoneticPr fontId="1" type="noConversion"/>
  </si>
  <si>
    <t>尖刺榴槤</t>
    <phoneticPr fontId="1" type="noConversion"/>
  </si>
  <si>
    <t>魔法師</t>
    <phoneticPr fontId="1" type="noConversion"/>
  </si>
  <si>
    <t>大蕉</t>
    <phoneticPr fontId="1" type="noConversion"/>
  </si>
  <si>
    <t>洋甘菊</t>
    <phoneticPr fontId="1" type="noConversion"/>
  </si>
  <si>
    <t>黑莓</t>
    <phoneticPr fontId="1" type="noConversion"/>
  </si>
  <si>
    <t>紫玉甘藍</t>
    <phoneticPr fontId="1" type="noConversion"/>
  </si>
  <si>
    <t>甜辣醬</t>
    <phoneticPr fontId="1" type="noConversion"/>
  </si>
  <si>
    <t>狼人</t>
    <phoneticPr fontId="1" type="noConversion"/>
  </si>
  <si>
    <t>麻花捲</t>
    <phoneticPr fontId="1" type="noConversion"/>
  </si>
  <si>
    <t>開心果</t>
    <phoneticPr fontId="1" type="noConversion"/>
  </si>
  <si>
    <t>煉金術師</t>
    <phoneticPr fontId="1" type="noConversion"/>
  </si>
  <si>
    <t>泡泡糖</t>
    <phoneticPr fontId="1" type="noConversion"/>
  </si>
  <si>
    <t>麻辣</t>
    <phoneticPr fontId="1" type="noConversion"/>
  </si>
  <si>
    <t>櫻桃</t>
    <phoneticPr fontId="1" type="noConversion"/>
  </si>
  <si>
    <t>肌肉</t>
    <phoneticPr fontId="1" type="noConversion"/>
  </si>
  <si>
    <t>勇敢</t>
    <phoneticPr fontId="1" type="noConversion"/>
  </si>
  <si>
    <t>忍者</t>
    <phoneticPr fontId="1" type="noConversion"/>
  </si>
  <si>
    <t>屬性傷害%</t>
    <phoneticPr fontId="1" type="noConversion"/>
  </si>
  <si>
    <t>增益效果</t>
    <phoneticPr fontId="1" type="noConversion"/>
  </si>
  <si>
    <t>減益效果</t>
    <phoneticPr fontId="1" type="noConversion"/>
  </si>
  <si>
    <t>生命%</t>
    <phoneticPr fontId="1" type="noConversion"/>
  </si>
  <si>
    <t>套裝</t>
    <phoneticPr fontId="1" type="noConversion"/>
  </si>
  <si>
    <t>面板生命</t>
    <phoneticPr fontId="1" type="noConversion"/>
  </si>
  <si>
    <t>原始生命</t>
    <phoneticPr fontId="1" type="noConversion"/>
  </si>
  <si>
    <t>等級30/40/50突破給予的額外能力</t>
    <phoneticPr fontId="1" type="noConversion"/>
  </si>
  <si>
    <t>https://forum.gamer.com.tw/C.php?bsn=78614&amp;snA=1228</t>
    <phoneticPr fontId="1" type="noConversion"/>
  </si>
  <si>
    <t>https://forum.gamer.com.tw/Co.php?bsn=78614&amp;sn=7197</t>
    <phoneticPr fontId="1" type="noConversion"/>
  </si>
  <si>
    <t>https://forum.gamer.com.tw/C.php?bsn=78614&amp;snA=1722</t>
    <phoneticPr fontId="1" type="noConversion"/>
  </si>
  <si>
    <t>https://forum.gamer.com.tw/C.php?bsn=78614&amp;snA=1541</t>
    <phoneticPr fontId="1" type="noConversion"/>
  </si>
  <si>
    <t>敵人減傷</t>
    <phoneticPr fontId="1" type="noConversion"/>
  </si>
  <si>
    <t>法寶卡</t>
    <phoneticPr fontId="1" type="noConversion"/>
  </si>
  <si>
    <t>防禦力</t>
    <phoneticPr fontId="1" type="noConversion"/>
  </si>
  <si>
    <t>https://forum.gamer.com.tw/Co.php?bsn=78614&amp;sn=8752</t>
    <phoneticPr fontId="1" type="noConversion"/>
  </si>
  <si>
    <t>敵人護甲</t>
    <phoneticPr fontId="1" type="noConversion"/>
  </si>
  <si>
    <t>星數</t>
    <phoneticPr fontId="1" type="noConversion"/>
  </si>
  <si>
    <t>角色等級</t>
    <phoneticPr fontId="1" type="noConversion"/>
  </si>
  <si>
    <t>午夜的華爾滋</t>
    <phoneticPr fontId="1" type="noConversion"/>
  </si>
  <si>
    <t>嗜辣一族</t>
    <phoneticPr fontId="1" type="noConversion"/>
  </si>
  <si>
    <t>下午茶</t>
    <phoneticPr fontId="1" type="noConversion"/>
  </si>
  <si>
    <t>安可表演</t>
    <phoneticPr fontId="1" type="noConversion"/>
  </si>
  <si>
    <t>快樂巡邏時間</t>
    <phoneticPr fontId="1" type="noConversion"/>
  </si>
  <si>
    <t>穿透之光</t>
    <phoneticPr fontId="1" type="noConversion"/>
  </si>
  <si>
    <t>被遺忘的魔法書的秘密</t>
    <phoneticPr fontId="1" type="noConversion"/>
  </si>
  <si>
    <t>頭好壯壯吃飽飽</t>
    <phoneticPr fontId="1" type="noConversion"/>
  </si>
  <si>
    <t>最大疊層</t>
    <phoneticPr fontId="1" type="noConversion"/>
  </si>
  <si>
    <t>生命值%</t>
    <phoneticPr fontId="1" type="noConversion"/>
  </si>
  <si>
    <t>恢復量</t>
    <phoneticPr fontId="1" type="noConversion"/>
  </si>
  <si>
    <t>額外傷害</t>
    <phoneticPr fontId="1" type="noConversion"/>
  </si>
  <si>
    <t>固有能力</t>
    <phoneticPr fontId="1" type="noConversion"/>
  </si>
  <si>
    <t>基本</t>
    <phoneticPr fontId="1" type="noConversion"/>
  </si>
  <si>
    <t>持續時間(秒)</t>
    <phoneticPr fontId="1" type="noConversion"/>
  </si>
  <si>
    <t>-</t>
    <phoneticPr fontId="1" type="noConversion"/>
  </si>
  <si>
    <t>被喚醒的回憶(最大疊層才給攻擊%)</t>
    <phoneticPr fontId="1" type="noConversion"/>
  </si>
  <si>
    <t>技能暴率</t>
    <phoneticPr fontId="1" type="noConversion"/>
  </si>
  <si>
    <t>絕招傷害</t>
    <phoneticPr fontId="1" type="noConversion"/>
  </si>
  <si>
    <t>努力的成果(最大疊層才給屬性傷害%)</t>
    <phoneticPr fontId="1" type="noConversion"/>
  </si>
  <si>
    <t>技能傷害</t>
    <phoneticPr fontId="1" type="noConversion"/>
  </si>
  <si>
    <t>作戰開始(75%生命)</t>
    <phoneticPr fontId="1" type="noConversion"/>
  </si>
  <si>
    <t>護盾%</t>
    <phoneticPr fontId="1" type="noConversion"/>
  </si>
  <si>
    <t>移速%</t>
    <phoneticPr fontId="1" type="noConversion"/>
  </si>
  <si>
    <t>增益效果%</t>
    <phoneticPr fontId="1" type="noConversion"/>
  </si>
  <si>
    <t>頭</t>
    <phoneticPr fontId="1" type="noConversion"/>
  </si>
  <si>
    <t>衣</t>
    <phoneticPr fontId="1" type="noConversion"/>
  </si>
  <si>
    <t>褲</t>
    <phoneticPr fontId="1" type="noConversion"/>
  </si>
  <si>
    <t>美人魚</t>
    <phoneticPr fontId="1" type="noConversion"/>
  </si>
  <si>
    <t>風之精靈</t>
    <phoneticPr fontId="1" type="noConversion"/>
  </si>
  <si>
    <t>大地後裔</t>
    <phoneticPr fontId="1" type="noConversion"/>
  </si>
  <si>
    <t>太陽騎士</t>
    <phoneticPr fontId="1" type="noConversion"/>
  </si>
  <si>
    <t>黑暗伯爵</t>
    <phoneticPr fontId="1" type="noConversion"/>
  </si>
  <si>
    <t>甜蜜白糖</t>
    <phoneticPr fontId="1" type="noConversion"/>
  </si>
  <si>
    <t>東方草藥</t>
    <phoneticPr fontId="1" type="noConversion"/>
  </si>
  <si>
    <t>雪怪的暴風雪</t>
    <phoneticPr fontId="1" type="noConversion"/>
  </si>
  <si>
    <t>幽靈海盜</t>
    <phoneticPr fontId="1" type="noConversion"/>
  </si>
  <si>
    <t>謎樣流浪者</t>
    <phoneticPr fontId="1" type="noConversion"/>
  </si>
  <si>
    <t>璀璨流星雨</t>
    <phoneticPr fontId="1" type="noConversion"/>
  </si>
  <si>
    <t>防禦力穿透</t>
    <phoneticPr fontId="1" type="noConversion"/>
  </si>
  <si>
    <t>頭-固有能力</t>
    <phoneticPr fontId="1" type="noConversion"/>
  </si>
  <si>
    <t>衣-固有能力</t>
    <phoneticPr fontId="1" type="noConversion"/>
  </si>
  <si>
    <t>褲-固有能力</t>
    <phoneticPr fontId="1" type="noConversion"/>
  </si>
  <si>
    <t>頭-基本(屬性傷害%)</t>
    <phoneticPr fontId="1" type="noConversion"/>
  </si>
  <si>
    <t>衣-基本(防禦力)</t>
    <phoneticPr fontId="1" type="noConversion"/>
  </si>
  <si>
    <t>褲-基本(生命值)</t>
    <phoneticPr fontId="1" type="noConversion"/>
  </si>
  <si>
    <t>圖片</t>
    <phoneticPr fontId="1" type="noConversion"/>
  </si>
  <si>
    <t>最大生命值</t>
    <phoneticPr fontId="1" type="noConversion"/>
  </si>
  <si>
    <t>暴擊傷害</t>
    <phoneticPr fontId="1" type="noConversion"/>
  </si>
  <si>
    <t>狀態加成</t>
    <phoneticPr fontId="1" type="noConversion"/>
  </si>
  <si>
    <t>關卡加成</t>
    <phoneticPr fontId="1" type="noConversion"/>
  </si>
  <si>
    <t>暴傷%</t>
    <phoneticPr fontId="1" type="noConversion"/>
  </si>
  <si>
    <t>暗屬性傷害%</t>
    <phoneticPr fontId="1" type="noConversion"/>
  </si>
  <si>
    <t>暗屬性攻擊力</t>
    <phoneticPr fontId="1" type="noConversion"/>
  </si>
  <si>
    <t>減益效果放大%</t>
    <phoneticPr fontId="1" type="noConversion"/>
  </si>
  <si>
    <t>恢復量%</t>
    <phoneticPr fontId="1" type="noConversion"/>
  </si>
  <si>
    <t>暴率%</t>
    <phoneticPr fontId="1" type="noConversion"/>
  </si>
  <si>
    <t>防禦力%</t>
    <phoneticPr fontId="1" type="noConversion"/>
  </si>
  <si>
    <t>所受傷害減少%</t>
    <phoneticPr fontId="1" type="noConversion"/>
  </si>
  <si>
    <t>減抗</t>
    <phoneticPr fontId="1" type="noConversion"/>
  </si>
  <si>
    <t>生命值</t>
    <phoneticPr fontId="1" type="noConversion"/>
  </si>
  <si>
    <t>暴擊率</t>
    <phoneticPr fontId="1" type="noConversion"/>
  </si>
  <si>
    <t>增益效果放大</t>
    <phoneticPr fontId="1" type="noConversion"/>
  </si>
  <si>
    <t>減益效果放大</t>
    <phoneticPr fontId="1" type="noConversion"/>
  </si>
  <si>
    <t>護盾強度</t>
    <phoneticPr fontId="1" type="noConversion"/>
  </si>
  <si>
    <t>所受傷害量減少</t>
    <phoneticPr fontId="1" type="noConversion"/>
  </si>
  <si>
    <t>火屬性傷害</t>
    <phoneticPr fontId="1" type="noConversion"/>
  </si>
  <si>
    <t>水屬性傷害</t>
    <phoneticPr fontId="1" type="noConversion"/>
  </si>
  <si>
    <t>風屬性傷害</t>
    <phoneticPr fontId="1" type="noConversion"/>
  </si>
  <si>
    <t>土屬性傷害</t>
    <phoneticPr fontId="1" type="noConversion"/>
  </si>
  <si>
    <t>光屬性傷害</t>
    <phoneticPr fontId="1" type="noConversion"/>
  </si>
  <si>
    <t>暗屬性傷害</t>
    <phoneticPr fontId="1" type="noConversion"/>
  </si>
  <si>
    <t>水屬性攻擊力</t>
    <phoneticPr fontId="1" type="noConversion"/>
  </si>
  <si>
    <t>火屬性攻擊力</t>
    <phoneticPr fontId="1" type="noConversion"/>
  </si>
  <si>
    <t>風屬性攻擊力</t>
    <phoneticPr fontId="1" type="noConversion"/>
  </si>
  <si>
    <t>土屬性攻擊力</t>
    <phoneticPr fontId="1" type="noConversion"/>
  </si>
  <si>
    <t>光屬性攻擊力</t>
    <phoneticPr fontId="1" type="noConversion"/>
  </si>
  <si>
    <t>暴擊傷害%</t>
    <phoneticPr fontId="1" type="noConversion"/>
  </si>
  <si>
    <t>最小值</t>
    <phoneticPr fontId="1" type="noConversion"/>
  </si>
  <si>
    <t>最大值</t>
    <phoneticPr fontId="1" type="noConversion"/>
  </si>
  <si>
    <t>套裝名稱</t>
    <phoneticPr fontId="1" type="noConversion"/>
  </si>
  <si>
    <t>隊友加成</t>
    <phoneticPr fontId="1" type="noConversion"/>
  </si>
  <si>
    <t>暗</t>
    <phoneticPr fontId="1" type="noConversion"/>
  </si>
  <si>
    <t>水</t>
    <phoneticPr fontId="1" type="noConversion"/>
  </si>
  <si>
    <t>光</t>
    <phoneticPr fontId="1" type="noConversion"/>
  </si>
  <si>
    <t>火</t>
    <phoneticPr fontId="1" type="noConversion"/>
  </si>
  <si>
    <t>風</t>
    <phoneticPr fontId="1" type="noConversion"/>
  </si>
  <si>
    <t>土</t>
    <phoneticPr fontId="1" type="noConversion"/>
  </si>
  <si>
    <t>通常怪物防禦為1500左右</t>
    <phoneticPr fontId="1" type="noConversion"/>
  </si>
  <si>
    <t>N防禦穿透為0防禦穿透的幾倍傷害</t>
    <phoneticPr fontId="1" type="noConversion"/>
  </si>
  <si>
    <t>狀態欄位</t>
    <phoneticPr fontId="1" type="noConversion"/>
  </si>
  <si>
    <t>屬性套</t>
    <phoneticPr fontId="1" type="noConversion"/>
  </si>
  <si>
    <t>屬性卷</t>
    <phoneticPr fontId="1" type="noConversion"/>
  </si>
  <si>
    <t>屬性%</t>
    <phoneticPr fontId="1" type="noConversion"/>
  </si>
  <si>
    <t>套裝(專屬)</t>
    <phoneticPr fontId="1" type="noConversion"/>
  </si>
  <si>
    <t>潛能1</t>
    <phoneticPr fontId="1" type="noConversion"/>
  </si>
  <si>
    <t>潛能2</t>
    <phoneticPr fontId="1" type="noConversion"/>
  </si>
  <si>
    <t>屬性潛能組合</t>
    <phoneticPr fontId="1" type="noConversion"/>
  </si>
  <si>
    <t>屬性卷軸</t>
    <phoneticPr fontId="1" type="noConversion"/>
  </si>
  <si>
    <t>作戰開始</t>
    <phoneticPr fontId="1" type="noConversion"/>
  </si>
  <si>
    <t>努力的成果</t>
    <phoneticPr fontId="1" type="noConversion"/>
  </si>
  <si>
    <t>被喚醒的回憶</t>
    <phoneticPr fontId="1" type="noConversion"/>
  </si>
  <si>
    <t>支援</t>
    <phoneticPr fontId="1" type="noConversion"/>
  </si>
  <si>
    <t>射擊</t>
    <phoneticPr fontId="1" type="noConversion"/>
  </si>
  <si>
    <t>魔法</t>
    <phoneticPr fontId="1" type="noConversion"/>
  </si>
  <si>
    <t>砍擊</t>
    <phoneticPr fontId="1" type="noConversion"/>
  </si>
  <si>
    <t>打擊</t>
    <phoneticPr fontId="1" type="noConversion"/>
  </si>
  <si>
    <t>天使</t>
    <phoneticPr fontId="1" type="noConversion"/>
  </si>
  <si>
    <t>狀態說明</t>
    <phoneticPr fontId="1" type="noConversion"/>
  </si>
  <si>
    <t>角色類別</t>
    <phoneticPr fontId="1" type="noConversion"/>
  </si>
  <si>
    <t>角色屬性</t>
    <phoneticPr fontId="1" type="noConversion"/>
  </si>
  <si>
    <t>套裝屬性</t>
    <phoneticPr fontId="1" type="noConversion"/>
  </si>
  <si>
    <t>屬性卷加成</t>
    <phoneticPr fontId="1" type="noConversion"/>
  </si>
  <si>
    <t>你是否有護盾?</t>
    <phoneticPr fontId="1" type="noConversion"/>
  </si>
  <si>
    <t>有專武?</t>
    <phoneticPr fontId="1" type="noConversion"/>
  </si>
  <si>
    <t>月桂香弓</t>
    <phoneticPr fontId="1" type="noConversion"/>
  </si>
  <si>
    <t>長棍麵包棒</t>
    <phoneticPr fontId="1" type="noConversion"/>
  </si>
  <si>
    <t>跳跳糖迴旋鏢</t>
    <phoneticPr fontId="1" type="noConversion"/>
  </si>
  <si>
    <t>藍莓魔法棒</t>
    <phoneticPr fontId="1" type="noConversion"/>
  </si>
  <si>
    <t>黃金柳橙巧克力矛</t>
    <phoneticPr fontId="1" type="noConversion"/>
  </si>
  <si>
    <t>杏仁巧克力棒</t>
    <phoneticPr fontId="1" type="noConversion"/>
  </si>
  <si>
    <t>第一次傷害</t>
    <phoneticPr fontId="1" type="noConversion"/>
  </si>
  <si>
    <t>第二次傷害</t>
    <phoneticPr fontId="1" type="noConversion"/>
  </si>
  <si>
    <t>第三次傷害</t>
    <phoneticPr fontId="1" type="noConversion"/>
  </si>
  <si>
    <t>特殊技能</t>
    <phoneticPr fontId="1" type="noConversion"/>
  </si>
  <si>
    <t>絕招</t>
    <phoneticPr fontId="1" type="noConversion"/>
  </si>
  <si>
    <t>餅乾升階</t>
    <phoneticPr fontId="1" type="noConversion"/>
  </si>
  <si>
    <t>倍率</t>
    <phoneticPr fontId="1" type="noConversion"/>
  </si>
  <si>
    <t>CD</t>
    <phoneticPr fontId="1" type="noConversion"/>
  </si>
  <si>
    <t>基本攻擊</t>
    <phoneticPr fontId="1" type="noConversion"/>
  </si>
  <si>
    <t>蓄力(最小)</t>
    <phoneticPr fontId="1" type="noConversion"/>
  </si>
  <si>
    <t>蓄力(最大/完成)</t>
    <phoneticPr fontId="1" type="noConversion"/>
  </si>
  <si>
    <t>第四次傷害</t>
    <phoneticPr fontId="1" type="noConversion"/>
  </si>
  <si>
    <t>持續時間</t>
    <phoneticPr fontId="1" type="noConversion"/>
  </si>
  <si>
    <t>次數</t>
    <phoneticPr fontId="1" type="noConversion"/>
  </si>
  <si>
    <t>黑巧克力 被動的攻擊力增加是在哪個乘區?</t>
    <phoneticPr fontId="1" type="noConversion"/>
  </si>
  <si>
    <t>絕招防禦力穿透</t>
    <phoneticPr fontId="1" type="noConversion"/>
  </si>
  <si>
    <t>荒野決鬥</t>
    <phoneticPr fontId="1" type="noConversion"/>
  </si>
  <si>
    <t>狀態</t>
    <phoneticPr fontId="1" type="noConversion"/>
  </si>
  <si>
    <t>極度孤獨</t>
    <phoneticPr fontId="1" type="noConversion"/>
  </si>
  <si>
    <t>強化攻擊</t>
    <phoneticPr fontId="1" type="noConversion"/>
  </si>
  <si>
    <t>水晶花</t>
  </si>
  <si>
    <t>水晶話＿召喚小花</t>
  </si>
  <si>
    <t>敵人名稱</t>
    <phoneticPr fontId="1" type="noConversion"/>
  </si>
  <si>
    <t>幸福白花</t>
  </si>
  <si>
    <t>鮑伯</t>
  </si>
  <si>
    <t>卡托克＿保鑣</t>
  </si>
  <si>
    <t>卡托克</t>
  </si>
  <si>
    <t>莓果蝙蝠</t>
    <phoneticPr fontId="1" type="noConversion"/>
  </si>
  <si>
    <t>香蕉金剛</t>
  </si>
  <si>
    <t>巫師猴</t>
  </si>
  <si>
    <t>巫師猴＿火冰暗圖騰</t>
  </si>
  <si>
    <t>檸門(一般、倒地)</t>
  </si>
  <si>
    <t>檸門＿手</t>
  </si>
  <si>
    <t>塞利斯</t>
  </si>
  <si>
    <t>蜂窩8_蜂蜜罐</t>
  </si>
  <si>
    <t>蜂窩8_六角蜂</t>
  </si>
  <si>
    <t>參考來源:巴哈shawbshawb大</t>
    <phoneticPr fontId="1" type="noConversion"/>
  </si>
  <si>
    <t>敵方狀態</t>
    <phoneticPr fontId="1" type="noConversion"/>
  </si>
  <si>
    <t>鮑伯_護盾模式</t>
  </si>
  <si>
    <t>鮑伯_虛弱(破盾後)</t>
    <phoneticPr fontId="1" type="noConversion"/>
  </si>
  <si>
    <t>幸福白花＿虛弱(吹風完)</t>
    <phoneticPr fontId="1" type="noConversion"/>
  </si>
  <si>
    <t>卡托克_憤怒狀態</t>
  </si>
  <si>
    <t>香蕉金剛_虛弱(大跳後)</t>
    <phoneticPr fontId="1" type="noConversion"/>
  </si>
  <si>
    <t>香蕉金剛_集氣中(跳前)</t>
    <phoneticPr fontId="1" type="noConversion"/>
  </si>
  <si>
    <t>塞利斯_倒地(魔法陣後)</t>
    <phoneticPr fontId="1" type="noConversion"/>
  </si>
  <si>
    <t>敵人</t>
    <phoneticPr fontId="1" type="noConversion"/>
  </si>
  <si>
    <t>裝備等級</t>
    <phoneticPr fontId="1" type="noConversion"/>
  </si>
  <si>
    <t>裝備</t>
    <phoneticPr fontId="1" type="noConversion"/>
  </si>
  <si>
    <t>裝備星數</t>
    <phoneticPr fontId="1" type="noConversion"/>
  </si>
  <si>
    <t>紫武器</t>
    <phoneticPr fontId="1" type="noConversion"/>
  </si>
  <si>
    <t>是否有金專武</t>
    <phoneticPr fontId="1" type="noConversion"/>
  </si>
  <si>
    <t>面板防禦</t>
    <phoneticPr fontId="1" type="noConversion"/>
  </si>
  <si>
    <t>原始防禦</t>
    <phoneticPr fontId="1" type="noConversion"/>
  </si>
  <si>
    <t>60等三星以上</t>
    <phoneticPr fontId="1" type="noConversion"/>
  </si>
  <si>
    <t>桌球欸製作</t>
    <phoneticPr fontId="1" type="noConversion"/>
  </si>
  <si>
    <t>糖果球</t>
    <phoneticPr fontId="1" type="noConversion"/>
  </si>
  <si>
    <t>通用屬性攻擊力</t>
    <phoneticPr fontId="1" type="noConversion"/>
  </si>
  <si>
    <t>敵人狀態</t>
    <phoneticPr fontId="1" type="noConversion"/>
  </si>
  <si>
    <t>通用</t>
    <phoneticPr fontId="1" type="noConversion"/>
  </si>
  <si>
    <t>屬性</t>
    <phoneticPr fontId="1" type="noConversion"/>
  </si>
  <si>
    <t>疊層</t>
    <phoneticPr fontId="1" type="noConversion"/>
  </si>
  <si>
    <t>安可表演狀態</t>
    <phoneticPr fontId="1" type="noConversion"/>
  </si>
  <si>
    <t>自身角色</t>
    <phoneticPr fontId="1" type="noConversion"/>
  </si>
  <si>
    <t>自身法寶卡</t>
    <phoneticPr fontId="1" type="noConversion"/>
  </si>
  <si>
    <t>護盾?</t>
    <phoneticPr fontId="1" type="noConversion"/>
  </si>
  <si>
    <t>自身裝備</t>
    <phoneticPr fontId="1" type="noConversion"/>
  </si>
  <si>
    <t xml:space="preserve">屬性劵加成     </t>
    <phoneticPr fontId="1" type="noConversion"/>
  </si>
  <si>
    <t>敵人抗性</t>
    <phoneticPr fontId="1" type="noConversion"/>
  </si>
  <si>
    <t>潛能詞綴</t>
    <phoneticPr fontId="1" type="noConversion"/>
  </si>
  <si>
    <t xml:space="preserve"> </t>
    <phoneticPr fontId="1" type="noConversion"/>
  </si>
  <si>
    <t>火怪</t>
    <phoneticPr fontId="1" type="noConversion"/>
  </si>
  <si>
    <t>關卡屬性加成</t>
    <phoneticPr fontId="1" type="noConversion"/>
  </si>
  <si>
    <t>火屬性傷害%</t>
    <phoneticPr fontId="1" type="noConversion"/>
  </si>
  <si>
    <t>通用屬性傷害%</t>
    <phoneticPr fontId="1" type="noConversion"/>
  </si>
  <si>
    <t>水屬性傷害%</t>
    <phoneticPr fontId="1" type="noConversion"/>
  </si>
  <si>
    <t>風屬性傷害%</t>
    <phoneticPr fontId="1" type="noConversion"/>
  </si>
  <si>
    <t>土屬性傷害%</t>
    <phoneticPr fontId="1" type="noConversion"/>
  </si>
  <si>
    <t>光屬性傷害%</t>
    <phoneticPr fontId="1" type="noConversion"/>
  </si>
  <si>
    <r>
      <t>疊層</t>
    </r>
    <r>
      <rPr>
        <sz val="8"/>
        <color theme="1"/>
        <rFont val="MiSans"/>
      </rPr>
      <t>(預設最大)</t>
    </r>
    <phoneticPr fontId="1" type="noConversion"/>
  </si>
  <si>
    <r>
      <t>星數</t>
    </r>
    <r>
      <rPr>
        <sz val="8"/>
        <color theme="1"/>
        <rFont val="MiSans"/>
      </rPr>
      <t>(預設5星)</t>
    </r>
    <phoneticPr fontId="1" type="noConversion"/>
  </si>
  <si>
    <t>專武</t>
    <phoneticPr fontId="1" type="noConversion"/>
  </si>
  <si>
    <t>小招5秒防禦-20%</t>
    <phoneticPr fontId="1" type="noConversion"/>
  </si>
  <si>
    <t>普攻20%造成1.5</t>
    <phoneticPr fontId="1" type="noConversion"/>
  </si>
  <si>
    <t>套裝專屬加成</t>
    <phoneticPr fontId="1" type="noConversion"/>
  </si>
  <si>
    <t>6秒攻擊附加過量10%</t>
    <phoneticPr fontId="1" type="noConversion"/>
  </si>
  <si>
    <t>黃金禮服</t>
    <phoneticPr fontId="1" type="noConversion"/>
  </si>
  <si>
    <t>暴擊率%</t>
    <phoneticPr fontId="1" type="noConversion"/>
  </si>
  <si>
    <t>特殊技能傷害%</t>
    <phoneticPr fontId="1" type="noConversion"/>
  </si>
  <si>
    <t>絕招傷害%</t>
    <phoneticPr fontId="1" type="noConversion"/>
  </si>
  <si>
    <t>減益效果%</t>
    <phoneticPr fontId="1" type="noConversion"/>
  </si>
  <si>
    <t>屬性重擊傷害+25%</t>
    <phoneticPr fontId="1" type="noConversion"/>
  </si>
  <si>
    <t>永恆大魔術師</t>
    <phoneticPr fontId="1" type="noConversion"/>
  </si>
  <si>
    <t>護盾強度%</t>
    <phoneticPr fontId="1" type="noConversion"/>
  </si>
  <si>
    <t>防禦力穿透%</t>
    <phoneticPr fontId="1" type="noConversion"/>
  </si>
  <si>
    <t>所受傷害量減少%</t>
    <phoneticPr fontId="1" type="noConversion"/>
  </si>
  <si>
    <t>增益效果放大%</t>
    <phoneticPr fontId="1" type="noConversion"/>
  </si>
  <si>
    <t>60等一星/二星</t>
    <phoneticPr fontId="1" type="noConversion"/>
  </si>
  <si>
    <t>搖滾</t>
    <phoneticPr fontId="1" type="noConversion"/>
  </si>
  <si>
    <t>https://forum.gamer.com.tw/C.php?bsn=78614&amp;snA=1228</t>
    <phoneticPr fontId="1" type="noConversion"/>
  </si>
  <si>
    <t>非凡的誕生</t>
    <phoneticPr fontId="1" type="noConversion"/>
  </si>
  <si>
    <t>大招暴傷</t>
    <phoneticPr fontId="1" type="noConversion"/>
  </si>
  <si>
    <t>小招暴傷</t>
    <phoneticPr fontId="1" type="noConversion"/>
  </si>
  <si>
    <t>光的另一端</t>
    <phoneticPr fontId="1" type="noConversion"/>
  </si>
  <si>
    <t>圖片長寬</t>
    <phoneticPr fontId="1" type="noConversion"/>
  </si>
  <si>
    <t>新的組合公式</t>
    <phoneticPr fontId="1" type="noConversion"/>
  </si>
  <si>
    <t>修練之路</t>
    <phoneticPr fontId="1" type="noConversion"/>
  </si>
  <si>
    <t>冷卻時間(秒)</t>
    <phoneticPr fontId="1" type="noConversion"/>
  </si>
  <si>
    <t>其他</t>
    <phoneticPr fontId="1" type="noConversion"/>
  </si>
  <si>
    <t>香甜爆炸</t>
    <phoneticPr fontId="1" type="noConversion"/>
  </si>
  <si>
    <t>基本攻擊%</t>
    <phoneticPr fontId="1" type="noConversion"/>
  </si>
  <si>
    <t>藝術家創作時間</t>
    <phoneticPr fontId="1" type="noConversion"/>
  </si>
  <si>
    <t>第3次普攻</t>
    <phoneticPr fontId="1" type="noConversion"/>
  </si>
  <si>
    <t>聖杯的誓言</t>
    <phoneticPr fontId="1" type="noConversion"/>
  </si>
  <si>
    <t>暖身</t>
    <phoneticPr fontId="1" type="noConversion"/>
  </si>
  <si>
    <t>暖身(有盾+防禦)</t>
    <phoneticPr fontId="1" type="noConversion"/>
  </si>
  <si>
    <t>孤獨月夜</t>
    <phoneticPr fontId="1" type="noConversion"/>
  </si>
  <si>
    <t>孤獨月夜(每少10%生命)</t>
    <phoneticPr fontId="1" type="noConversion"/>
  </si>
  <si>
    <t>火屬性傷害%</t>
  </si>
  <si>
    <t>水屬性傷害%</t>
  </si>
  <si>
    <t>風屬性傷害%</t>
  </si>
  <si>
    <t>土屬性傷害%</t>
  </si>
  <si>
    <t>光屬性傷害%</t>
  </si>
  <si>
    <t>暗屬性傷害%</t>
  </si>
  <si>
    <t>通用屬性傷害%</t>
  </si>
  <si>
    <t>Total屬性攻擊力</t>
    <phoneticPr fontId="1" type="noConversion"/>
  </si>
  <si>
    <t>榴槤</t>
    <phoneticPr fontId="1" type="noConversion"/>
  </si>
  <si>
    <t>紫玉</t>
    <phoneticPr fontId="1" type="noConversion"/>
  </si>
  <si>
    <t>蘇打</t>
    <phoneticPr fontId="1" type="noConversion"/>
  </si>
  <si>
    <t>黑巧</t>
    <phoneticPr fontId="1" type="noConversion"/>
  </si>
  <si>
    <t>辣椒</t>
    <phoneticPr fontId="1" type="noConversion"/>
  </si>
  <si>
    <t>鍊金</t>
    <phoneticPr fontId="1" type="noConversion"/>
  </si>
  <si>
    <t>獨立傷害2</t>
    <phoneticPr fontId="1" type="noConversion"/>
  </si>
  <si>
    <t>獨立傷害1</t>
    <phoneticPr fontId="1" type="noConversion"/>
  </si>
  <si>
    <t>絕招暴率%</t>
    <phoneticPr fontId="1" type="noConversion"/>
  </si>
  <si>
    <t>生命</t>
    <phoneticPr fontId="1" type="noConversion"/>
  </si>
  <si>
    <t>角色血量幾%?</t>
    <phoneticPr fontId="1" type="noConversion"/>
  </si>
  <si>
    <t>移動速度%</t>
    <phoneticPr fontId="1" type="noConversion"/>
  </si>
  <si>
    <t>特殊技能暴傷%</t>
    <phoneticPr fontId="1" type="noConversion"/>
  </si>
  <si>
    <t>絕招暴傷%</t>
    <phoneticPr fontId="1" type="noConversion"/>
  </si>
  <si>
    <t>蓄力命中3次</t>
    <phoneticPr fontId="1" type="noConversion"/>
  </si>
  <si>
    <t>觸發屬性標記</t>
    <phoneticPr fontId="1" type="noConversion"/>
  </si>
  <si>
    <t>觸發標記</t>
    <phoneticPr fontId="1" type="noConversion"/>
  </si>
  <si>
    <t>蓄力3次</t>
    <phoneticPr fontId="1" type="noConversion"/>
  </si>
  <si>
    <t>絕招命中3次</t>
    <phoneticPr fontId="1" type="noConversion"/>
  </si>
  <si>
    <t>絕招命中5次</t>
    <phoneticPr fontId="1" type="noConversion"/>
  </si>
  <si>
    <t>突破</t>
    <phoneticPr fontId="1" type="noConversion"/>
  </si>
  <si>
    <t>鍊金術師</t>
    <phoneticPr fontId="1" type="noConversion"/>
  </si>
  <si>
    <t>問題</t>
    <phoneticPr fontId="1" type="noConversion"/>
  </si>
  <si>
    <t>答案</t>
    <phoneticPr fontId="1" type="noConversion"/>
  </si>
  <si>
    <t>過量治療了1000，攻擊力會加100，是直接加在攻擊力乘區。每過量治療一次上6秒的buff，用洋甘菊大測試，buff期間內再過量治療不會延長buff時間，是要等buff結束之後在治療才會再產生一次buff</t>
    <phoneticPr fontId="1" type="noConversion"/>
  </si>
  <si>
    <t>東方草藥套裝 6秒攻擊附加過量10% 也是獨立傷害?</t>
  </si>
  <si>
    <t>下午茶跟白糖是獨立，白糖會爆擊，下午茶不會</t>
    <phoneticPr fontId="1" type="noConversion"/>
  </si>
  <si>
    <t>其他獨立傷害?</t>
    <phoneticPr fontId="1" type="noConversion"/>
  </si>
  <si>
    <t>進場後攻擊%能被增益放大?</t>
    <phoneticPr fontId="1" type="noConversion"/>
  </si>
  <si>
    <t>增益放大僅限於給隊友的BUFF，自己的BUFF無法用增益放大提升，裝備與法寶給的也無法用增益放大提升。</t>
    <phoneticPr fontId="1" type="noConversion"/>
  </si>
  <si>
    <t>防禦穿透有上限80%?</t>
    <phoneticPr fontId="1" type="noConversion"/>
  </si>
  <si>
    <t>有</t>
    <phoneticPr fontId="1" type="noConversion"/>
  </si>
  <si>
    <t>防穿80%能跟減少防禦互動嗎?</t>
    <phoneticPr fontId="1" type="noConversion"/>
  </si>
  <si>
    <t>可以，會突破上限。</t>
    <phoneticPr fontId="1" type="noConversion"/>
  </si>
  <si>
    <t>屬性重擊是分兩個部分：屬性計量條、屬性重擊累積傷害
計量條只是影響爆出重擊傷害的快慢，不影響屬性重擊傷害
每個招式的計量條累積量是固定的，穿裝備都不影響
所以甜辣醬只是累積計量條的速度快，不是爆屬性重擊的傷害就比較高</t>
    <phoneticPr fontId="1" type="noConversion"/>
  </si>
  <si>
    <t>屬性重擊是什麼?</t>
    <phoneticPr fontId="1" type="noConversion"/>
  </si>
  <si>
    <t>持續傷害攻擊值，是看出招時做傷害計算的，如：你持續傷害100持續10秒，第5秒後獲得BUFF，傷害依舊無法上升。</t>
    <phoneticPr fontId="1" type="noConversion"/>
  </si>
  <si>
    <t>鍊金卡能吃減益效果?</t>
    <phoneticPr fontId="1" type="noConversion"/>
  </si>
  <si>
    <t>糖果球 法寶減益是加法嗎</t>
  </si>
  <si>
    <t>糖果球 海盜裝 減防禦是加法嗎</t>
  </si>
  <si>
    <t>糖果球 不穿海盜 另一個人穿海盜 這樣也是加法嗎</t>
  </si>
  <si>
    <t>鍊金卡 不同人帶 會疊加嗎</t>
  </si>
  <si>
    <t>無法</t>
    <phoneticPr fontId="1" type="noConversion"/>
  </si>
  <si>
    <t>持續傷害攻擊中間獲得buff怎麼看?</t>
    <phoneticPr fontId="1" type="noConversion"/>
  </si>
  <si>
    <t>進場後攻擊%。與搖滾同個</t>
    <phoneticPr fontId="1" type="noConversion"/>
  </si>
  <si>
    <t>櫻桃法寶卡的攻擊力是哪個乘區?</t>
    <phoneticPr fontId="1" type="noConversion"/>
  </si>
  <si>
    <t>那持續時間的攻擊，如魔法師大招小招，怎麼看?</t>
    <phoneticPr fontId="1" type="noConversion"/>
  </si>
  <si>
    <t>魔法師法寶卡，先大後小招，大招有變痛?</t>
    <phoneticPr fontId="1" type="noConversion"/>
  </si>
  <si>
    <t>進場後攻擊%</t>
    <phoneticPr fontId="1" type="noConversion"/>
  </si>
  <si>
    <t>敵人狀態加成</t>
    <phoneticPr fontId="1" type="noConversion"/>
  </si>
  <si>
    <t>最終傷害%</t>
    <phoneticPr fontId="1" type="noConversion"/>
  </si>
  <si>
    <t>減少防禦力</t>
    <phoneticPr fontId="1" type="noConversion"/>
  </si>
  <si>
    <t>單次傷害(沒暴)</t>
    <phoneticPr fontId="1" type="noConversion"/>
  </si>
  <si>
    <t>扣敵人抗性</t>
    <phoneticPr fontId="1" type="noConversion"/>
  </si>
  <si>
    <t>【抗性倍率】</t>
    <phoneticPr fontId="1" type="noConversion"/>
  </si>
  <si>
    <t>【減傷倍率】</t>
    <phoneticPr fontId="1" type="noConversion"/>
  </si>
  <si>
    <t>提升倍率</t>
    <phoneticPr fontId="1" type="noConversion"/>
  </si>
  <si>
    <t>減少防禦力%</t>
    <phoneticPr fontId="1" type="noConversion"/>
  </si>
  <si>
    <t>特殊技能命中?</t>
    <phoneticPr fontId="1" type="noConversion"/>
  </si>
  <si>
    <r>
      <t>星數</t>
    </r>
    <r>
      <rPr>
        <sz val="8"/>
        <color theme="1"/>
        <rFont val="MiSans"/>
      </rPr>
      <t>(預設1星)</t>
    </r>
    <phoneticPr fontId="1" type="noConversion"/>
  </si>
  <si>
    <r>
      <t>數值自填</t>
    </r>
    <r>
      <rPr>
        <sz val="8"/>
        <color theme="1"/>
        <rFont val="MiSans"/>
      </rPr>
      <t>(預設最高)</t>
    </r>
    <phoneticPr fontId="1" type="noConversion"/>
  </si>
  <si>
    <t>璀璨流星雨</t>
  </si>
  <si>
    <t>隊友
套裝加成</t>
    <phoneticPr fontId="1" type="noConversion"/>
  </si>
  <si>
    <t>民謠?</t>
    <phoneticPr fontId="1" type="noConversion"/>
  </si>
  <si>
    <t>角色加成</t>
    <phoneticPr fontId="1" type="noConversion"/>
  </si>
  <si>
    <t>A</t>
    <phoneticPr fontId="1" type="noConversion"/>
  </si>
  <si>
    <t>比較結果</t>
    <phoneticPr fontId="1" type="noConversion"/>
  </si>
  <si>
    <t>計算結果</t>
    <phoneticPr fontId="1" type="noConversion"/>
  </si>
  <si>
    <t>詞綴</t>
    <phoneticPr fontId="1" type="noConversion"/>
  </si>
  <si>
    <r>
      <t>防穿</t>
    </r>
    <r>
      <rPr>
        <sz val="6"/>
        <color theme="1"/>
        <rFont val="MiSans"/>
      </rPr>
      <t>(護甲1000)</t>
    </r>
    <phoneticPr fontId="1" type="noConversion"/>
  </si>
  <si>
    <r>
      <t>防穿</t>
    </r>
    <r>
      <rPr>
        <sz val="6"/>
        <color theme="1"/>
        <rFont val="MiSans"/>
      </rPr>
      <t>(護甲2000)</t>
    </r>
    <phoneticPr fontId="1" type="noConversion"/>
  </si>
  <si>
    <r>
      <t>暴傷</t>
    </r>
    <r>
      <rPr>
        <sz val="6"/>
        <color theme="1"/>
        <rFont val="MiSans"/>
      </rPr>
      <t>(暴率30)</t>
    </r>
    <phoneticPr fontId="1" type="noConversion"/>
  </si>
  <si>
    <r>
      <t>暴傷</t>
    </r>
    <r>
      <rPr>
        <sz val="6"/>
        <color theme="1"/>
        <rFont val="MiSans"/>
      </rPr>
      <t>(暴率45)</t>
    </r>
    <phoneticPr fontId="1" type="noConversion"/>
  </si>
  <si>
    <r>
      <t>暴傷</t>
    </r>
    <r>
      <rPr>
        <sz val="6"/>
        <color theme="1"/>
        <rFont val="MiSans"/>
      </rPr>
      <t>(暴率60)</t>
    </r>
    <phoneticPr fontId="1" type="noConversion"/>
  </si>
  <si>
    <r>
      <t>暴傷</t>
    </r>
    <r>
      <rPr>
        <sz val="6"/>
        <color theme="1"/>
        <rFont val="MiSans"/>
      </rPr>
      <t>(暴率75)</t>
    </r>
    <phoneticPr fontId="1" type="noConversion"/>
  </si>
  <si>
    <r>
      <t>暴傷</t>
    </r>
    <r>
      <rPr>
        <sz val="6"/>
        <color theme="1"/>
        <rFont val="MiSans"/>
      </rPr>
      <t>(暴率90)</t>
    </r>
    <phoneticPr fontId="1" type="noConversion"/>
  </si>
  <si>
    <r>
      <t>暴傷</t>
    </r>
    <r>
      <rPr>
        <sz val="6"/>
        <color theme="1"/>
        <rFont val="MiSans"/>
      </rPr>
      <t>(暴率100)</t>
    </r>
    <phoneticPr fontId="1" type="noConversion"/>
  </si>
  <si>
    <t>搖滾絕招</t>
    <phoneticPr fontId="1" type="noConversion"/>
  </si>
  <si>
    <t>糖果球絕招</t>
    <phoneticPr fontId="1" type="noConversion"/>
  </si>
  <si>
    <t>黑莓絕招</t>
    <phoneticPr fontId="1" type="noConversion"/>
  </si>
  <si>
    <t>紅字</t>
    <phoneticPr fontId="1" type="noConversion"/>
  </si>
  <si>
    <t>藍框</t>
    <phoneticPr fontId="1" type="noConversion"/>
  </si>
  <si>
    <t>詭異的獵人</t>
    <phoneticPr fontId="1" type="noConversion"/>
  </si>
  <si>
    <t>時間管理局
制服</t>
    <phoneticPr fontId="1" type="noConversion"/>
  </si>
  <si>
    <t>所有屬性攻擊力</t>
    <phoneticPr fontId="1" type="noConversion"/>
  </si>
  <si>
    <t>所有屬性傷害%</t>
    <phoneticPr fontId="1" type="noConversion"/>
  </si>
  <si>
    <t>基本攻擊傷害增加%</t>
    <phoneticPr fontId="1" type="noConversion"/>
  </si>
  <si>
    <t>使用技能15秒基本攻擊傷害</t>
    <phoneticPr fontId="1" type="noConversion"/>
  </si>
  <si>
    <t>攻擊屬性標記敵人5秒攻擊力增加</t>
    <phoneticPr fontId="1" type="noConversion"/>
  </si>
  <si>
    <t>狂熱狙擊</t>
    <phoneticPr fontId="1" type="noConversion"/>
  </si>
  <si>
    <t>糖果絕招</t>
    <phoneticPr fontId="1" type="noConversion"/>
  </si>
  <si>
    <t>減益法寶</t>
    <phoneticPr fontId="1" type="noConversion"/>
  </si>
  <si>
    <t>黑莓卡</t>
    <phoneticPr fontId="1" type="noConversion"/>
  </si>
  <si>
    <t>黑莓法寶</t>
    <phoneticPr fontId="1" type="noConversion"/>
  </si>
  <si>
    <t>黑莓套裝</t>
    <phoneticPr fontId="1" type="noConversion"/>
  </si>
  <si>
    <t>海盜套裝</t>
    <phoneticPr fontId="1" type="noConversion"/>
  </si>
  <si>
    <t>增益(預設70)</t>
    <phoneticPr fontId="1" type="noConversion"/>
  </si>
  <si>
    <t>扣敵人暗抗性</t>
    <phoneticPr fontId="1" type="noConversion"/>
  </si>
  <si>
    <t>扣敵人水抗性</t>
    <phoneticPr fontId="1" type="noConversion"/>
  </si>
  <si>
    <t>扣敵人火抗性</t>
    <phoneticPr fontId="1" type="noConversion"/>
  </si>
  <si>
    <t>扣敵人風抗性</t>
    <phoneticPr fontId="1" type="noConversion"/>
  </si>
  <si>
    <t>扣敵人土抗性</t>
    <phoneticPr fontId="1" type="noConversion"/>
  </si>
  <si>
    <t>扣敵人光抗性</t>
    <phoneticPr fontId="1" type="noConversion"/>
  </si>
  <si>
    <t>?</t>
    <phoneticPr fontId="1" type="noConversion"/>
  </si>
  <si>
    <t>5+5+5
套裝全5
60等
紫玉</t>
    <phoneticPr fontId="1" type="noConversion"/>
  </si>
  <si>
    <t>哈拉帕辣椒</t>
    <phoneticPr fontId="1" type="noConversion"/>
  </si>
  <si>
    <t>減益(預設60)</t>
    <phoneticPr fontId="1" type="noConversion"/>
  </si>
  <si>
    <r>
      <rPr>
        <sz val="11"/>
        <color rgb="FF7030A0"/>
        <rFont val="MiSans Heavy"/>
      </rPr>
      <t>【搖滾70增益絕招】
【黑莓套裝20屬性傷害%+法寶卡30暴傷+85減益絕招扣抗】</t>
    </r>
    <r>
      <rPr>
        <sz val="11"/>
        <color theme="1"/>
        <rFont val="MiSans Heavy"/>
      </rPr>
      <t xml:space="preserve">
</t>
    </r>
    <r>
      <rPr>
        <sz val="11"/>
        <color theme="5" tint="-0.249977111117893"/>
        <rFont val="MiSans Heavy"/>
      </rPr>
      <t xml:space="preserve">【糖果球60減益絕招扣防禦+光的另一端法寶卡+24進場後攻擊%】
</t>
    </r>
    <r>
      <rPr>
        <sz val="11"/>
        <color theme="1"/>
        <rFont val="MiSans Heavy"/>
      </rPr>
      <t>【海盜套裝扣20%防禦】</t>
    </r>
    <r>
      <rPr>
        <sz val="11"/>
        <color rgb="FF7030A0"/>
        <rFont val="MiSans Heavy"/>
      </rPr>
      <t xml:space="preserve">
【5+5+5套裝全5
60等紫玉】</t>
    </r>
    <phoneticPr fontId="1" type="noConversion"/>
  </si>
  <si>
    <t>黃底</t>
    <phoneticPr fontId="1" type="noConversion"/>
  </si>
  <si>
    <t>條件</t>
    <phoneticPr fontId="1" type="noConversion"/>
  </si>
  <si>
    <t>蓄力命中5次</t>
    <phoneticPr fontId="1" type="noConversion"/>
  </si>
  <si>
    <t>效果</t>
    <phoneticPr fontId="1" type="noConversion"/>
  </si>
  <si>
    <t>25%進場後攻擊力</t>
    <phoneticPr fontId="1" type="noConversion"/>
  </si>
  <si>
    <t>升階</t>
    <phoneticPr fontId="1" type="noConversion"/>
  </si>
  <si>
    <t>二星</t>
    <phoneticPr fontId="1" type="noConversion"/>
  </si>
  <si>
    <t>四星</t>
    <phoneticPr fontId="1" type="noConversion"/>
  </si>
  <si>
    <t>五星</t>
    <phoneticPr fontId="1" type="noConversion"/>
  </si>
  <si>
    <t xml:space="preserve"> A vs B/C/D/E</t>
    <phoneticPr fontId="1" type="noConversion"/>
  </si>
  <si>
    <t>B vs C/D/E</t>
    <phoneticPr fontId="1" type="noConversion"/>
  </si>
  <si>
    <t>C vs D/E</t>
    <phoneticPr fontId="1" type="noConversion"/>
  </si>
  <si>
    <t>D vs E</t>
    <phoneticPr fontId="1" type="noConversion"/>
  </si>
  <si>
    <t>黃底為輸入區，若欲大範圍更改數值，請善用Delete刪除值</t>
    <phoneticPr fontId="1" type="noConversion"/>
  </si>
  <si>
    <t>【總絕招倍率】</t>
    <phoneticPr fontId="1" type="noConversion"/>
  </si>
  <si>
    <t>絕招倍率</t>
    <phoneticPr fontId="1" type="noConversion"/>
  </si>
  <si>
    <t>倍率強化</t>
    <phoneticPr fontId="1" type="noConversion"/>
  </si>
  <si>
    <t>基本攻擊倍率</t>
    <phoneticPr fontId="1" type="noConversion"/>
  </si>
  <si>
    <t>基本攻擊強化</t>
    <phoneticPr fontId="1" type="noConversion"/>
  </si>
  <si>
    <t>特殊技能倍率</t>
    <phoneticPr fontId="1" type="noConversion"/>
  </si>
  <si>
    <t>特殊技能強化</t>
    <phoneticPr fontId="1" type="noConversion"/>
  </si>
  <si>
    <t>【總特殊技能倍率】</t>
    <phoneticPr fontId="1" type="noConversion"/>
  </si>
  <si>
    <t>【總普攻暴率】</t>
    <phoneticPr fontId="1" type="noConversion"/>
  </si>
  <si>
    <t>【總普攻暴傷】</t>
    <phoneticPr fontId="1" type="noConversion"/>
  </si>
  <si>
    <t>【總特殊技能暴率】</t>
    <phoneticPr fontId="1" type="noConversion"/>
  </si>
  <si>
    <t>【總特殊技能暴傷】</t>
    <phoneticPr fontId="1" type="noConversion"/>
  </si>
  <si>
    <t>【總絕招暴率】</t>
    <phoneticPr fontId="1" type="noConversion"/>
  </si>
  <si>
    <t>【總絕招暴傷】</t>
    <phoneticPr fontId="1" type="noConversion"/>
  </si>
  <si>
    <t>【總基本攻擊倍率】</t>
    <phoneticPr fontId="1" type="noConversion"/>
  </si>
  <si>
    <t>單次傷害(有暴)</t>
  </si>
  <si>
    <t>暴擊期望</t>
  </si>
  <si>
    <t>特殊技能暴率%</t>
    <phoneticPr fontId="1" type="noConversion"/>
  </si>
  <si>
    <t>敵人防禦力</t>
    <phoneticPr fontId="1" type="noConversion"/>
  </si>
  <si>
    <t>敵人最終防禦力</t>
    <phoneticPr fontId="1" type="noConversion"/>
  </si>
  <si>
    <t>基本攻擊
倍率</t>
    <phoneticPr fontId="1" type="noConversion"/>
  </si>
  <si>
    <t>特殊技能
倍率</t>
    <phoneticPr fontId="1" type="noConversion"/>
  </si>
  <si>
    <t>絕招
倍率</t>
    <phoneticPr fontId="1" type="noConversion"/>
  </si>
  <si>
    <t>黑麥卡的攻擊力算是進場後攻擊%?</t>
    <phoneticPr fontId="1" type="noConversion"/>
  </si>
  <si>
    <t>來源</t>
    <phoneticPr fontId="1" type="noConversion"/>
  </si>
  <si>
    <t>對，計算機按的結果與實測結果相同</t>
    <phoneticPr fontId="1" type="noConversion"/>
  </si>
  <si>
    <t>我，實測結果吻合</t>
    <phoneticPr fontId="1" type="noConversion"/>
  </si>
  <si>
    <t>黑麥被動要先打第一發，之後才有暴傷效果?</t>
    <phoneticPr fontId="1" type="noConversion"/>
  </si>
  <si>
    <t>是，第一發吃不到被動給的暴傷，後續才都吃的到</t>
    <phoneticPr fontId="1" type="noConversion"/>
  </si>
  <si>
    <t>藝術家創作時間卡的基本攻擊傷害是在哪個區間?</t>
    <phoneticPr fontId="1" type="noConversion"/>
  </si>
  <si>
    <t>基本攻擊強化區間</t>
    <phoneticPr fontId="1" type="noConversion"/>
  </si>
  <si>
    <t>基本攻擊強化區間，而且像是黑麥一次射擊兩次，兩下都吃的到</t>
    <phoneticPr fontId="1" type="noConversion"/>
  </si>
  <si>
    <t>香甜爆炸卡基本攻擊的傷害增加是在哪個區間?</t>
    <phoneticPr fontId="1" type="noConversion"/>
  </si>
  <si>
    <t>孤獨月夜卡故有能力的攻擊力%是哪個區間?</t>
    <phoneticPr fontId="1" type="noConversion"/>
  </si>
  <si>
    <t>基本攻擊強化%</t>
    <phoneticPr fontId="1" type="noConversion"/>
  </si>
  <si>
    <t>時間管理局制服</t>
    <phoneticPr fontId="1" type="noConversion"/>
  </si>
  <si>
    <t>使用技能</t>
    <phoneticPr fontId="1" type="noConversion"/>
  </si>
  <si>
    <t>有使用技能</t>
    <phoneticPr fontId="1" type="noConversion"/>
  </si>
  <si>
    <t>命中屬性標記敵人</t>
    <phoneticPr fontId="1" type="noConversion"/>
  </si>
  <si>
    <t>套裝</t>
    <phoneticPr fontId="1" type="noConversion"/>
  </si>
  <si>
    <t>命中屬性標記</t>
    <phoneticPr fontId="1" type="noConversion"/>
  </si>
  <si>
    <t>白糖</t>
    <phoneticPr fontId="1" type="noConversion"/>
  </si>
  <si>
    <t>時間管理局制服</t>
    <phoneticPr fontId="1" type="noConversion"/>
  </si>
  <si>
    <t>詭異的獵人</t>
    <phoneticPr fontId="1" type="noConversion"/>
  </si>
  <si>
    <t>無詞綴</t>
    <phoneticPr fontId="1" type="noConversion"/>
  </si>
  <si>
    <t>普攻</t>
    <phoneticPr fontId="1" type="noConversion"/>
  </si>
  <si>
    <t>2屬攻6攻</t>
    <phoneticPr fontId="1" type="noConversion"/>
  </si>
  <si>
    <t>2屬攻2攻4防穿</t>
    <phoneticPr fontId="1" type="noConversion"/>
  </si>
  <si>
    <t>(白糖專屬X1.1)</t>
    <phoneticPr fontId="1" type="noConversion"/>
  </si>
  <si>
    <t>小招</t>
    <phoneticPr fontId="1" type="noConversion"/>
  </si>
  <si>
    <t>白糖獨立傷害</t>
    <phoneticPr fontId="1" type="noConversion"/>
  </si>
  <si>
    <t>基本攻擊</t>
  </si>
  <si>
    <t>單次傷害(沒暴)</t>
  </si>
  <si>
    <t>蘇打小招第三次倍率怪怪的?</t>
    <phoneticPr fontId="1" type="noConversion"/>
  </si>
  <si>
    <t>對，顯示264%，但實際上是88%*3。</t>
    <phoneticPr fontId="1" type="noConversion"/>
  </si>
  <si>
    <t>白糖套裝給的額外傷害怎麼計算?</t>
    <phoneticPr fontId="1" type="noConversion"/>
  </si>
  <si>
    <t>白糖套裝的額外傷害技能可以觸發嗎?</t>
    <phoneticPr fontId="1" type="noConversion"/>
  </si>
  <si>
    <t>不行。只有基本攻擊能觸發。</t>
    <phoneticPr fontId="1" type="noConversion"/>
  </si>
  <si>
    <t>每秒攻擊次數</t>
    <phoneticPr fontId="1" type="noConversion"/>
  </si>
  <si>
    <t>3秒普攻炸彈箭</t>
    <phoneticPr fontId="1" type="noConversion"/>
  </si>
  <si>
    <t>5秒普攻炸彈箭</t>
    <phoneticPr fontId="1" type="noConversion"/>
  </si>
  <si>
    <t>4秒普攻炸彈箭</t>
    <phoneticPr fontId="1" type="noConversion"/>
  </si>
  <si>
    <t>每3秒攻擊次數</t>
    <phoneticPr fontId="1" type="noConversion"/>
  </si>
  <si>
    <t>每秒瞬間爆發傷害</t>
    <phoneticPr fontId="1" type="noConversion"/>
  </si>
  <si>
    <t>1層鑽孔箭蓄力攻擊</t>
    <phoneticPr fontId="1" type="noConversion"/>
  </si>
  <si>
    <t>2層鑽孔箭蓄力攻擊</t>
    <phoneticPr fontId="1" type="noConversion"/>
  </si>
  <si>
    <t>3層鑽孔箭蓄力攻擊</t>
    <phoneticPr fontId="1" type="noConversion"/>
  </si>
  <si>
    <t>蓄力攻擊+打滿炸彈箭</t>
    <phoneticPr fontId="1" type="noConversion"/>
  </si>
  <si>
    <t>有，不過仍要等輔助絕招命中5次之後才有</t>
    <phoneticPr fontId="1" type="noConversion"/>
  </si>
  <si>
    <t>總傷害的0.5倍率，包含屬攻、攻擊力%、屬性傷害%、減傷跟抗性等。</t>
    <phoneticPr fontId="1" type="noConversion"/>
  </si>
  <si>
    <t>沒暴</t>
    <phoneticPr fontId="1" type="noConversion"/>
  </si>
  <si>
    <t>暴</t>
    <phoneticPr fontId="1" type="noConversion"/>
  </si>
  <si>
    <t>大蕉2星開大扣抗</t>
    <phoneticPr fontId="1" type="noConversion"/>
  </si>
  <si>
    <t>大蕉技能扣抗與2星升階被動是加法嗎?</t>
    <phoneticPr fontId="1" type="noConversion"/>
  </si>
  <si>
    <t>加鍊金卡</t>
    <phoneticPr fontId="1" type="noConversion"/>
  </si>
  <si>
    <t>加白糖期望傷害</t>
    <phoneticPr fontId="1" type="noConversion"/>
  </si>
  <si>
    <t>其他扣抗</t>
    <phoneticPr fontId="1" type="noConversion"/>
  </si>
  <si>
    <t>黑莓法寶卡有無?</t>
    <phoneticPr fontId="1" type="noConversion"/>
  </si>
  <si>
    <t>是，並且與鍊金卡也是加法。</t>
    <phoneticPr fontId="1" type="noConversion"/>
  </si>
  <si>
    <t>輔助帶鍊金卡放完絕招切換輸出角色有效果?</t>
    <phoneticPr fontId="1" type="noConversion"/>
  </si>
  <si>
    <t>哈拉帕辣椒的四星被動跟獵人套裝基本攻擊傷害如何計算? 加法乘法?</t>
    <phoneticPr fontId="1" type="noConversion"/>
  </si>
  <si>
    <t>乘法，所以更強一點</t>
    <phoneticPr fontId="1" type="noConversion"/>
  </si>
  <si>
    <t>黑巧克力小招四星範圍傷害會複數擊中?</t>
    <phoneticPr fontId="1" type="noConversion"/>
  </si>
  <si>
    <t>大招</t>
    <phoneticPr fontId="1" type="noConversion"/>
  </si>
  <si>
    <t>忍者卡跟光的另一端能疊加嗎?</t>
    <phoneticPr fontId="1" type="noConversion"/>
  </si>
  <si>
    <t>扣抗屬性?</t>
    <phoneticPr fontId="1" type="noConversion"/>
  </si>
  <si>
    <t>扣多少抗?(預設10)</t>
    <phoneticPr fontId="1" type="noConversion"/>
  </si>
  <si>
    <t>平均</t>
    <phoneticPr fontId="1" type="noConversion"/>
  </si>
  <si>
    <t>隊友扣抗</t>
    <phoneticPr fontId="1" type="noConversion"/>
  </si>
  <si>
    <t>減益(預設50)</t>
    <phoneticPr fontId="1" type="noConversion"/>
  </si>
  <si>
    <t>自定義B</t>
    <phoneticPr fontId="1" type="noConversion"/>
  </si>
  <si>
    <t>自定義C</t>
    <phoneticPr fontId="1" type="noConversion"/>
  </si>
  <si>
    <t>自定義D</t>
    <phoneticPr fontId="1" type="noConversion"/>
  </si>
  <si>
    <t>自定義E</t>
    <phoneticPr fontId="1" type="noConversion"/>
  </si>
  <si>
    <t>Total屬性傷害%</t>
    <phoneticPr fontId="1" type="noConversion"/>
  </si>
  <si>
    <t>Total扣敵人抗性</t>
    <phoneticPr fontId="1" type="noConversion"/>
  </si>
  <si>
    <t>黑巧克力_基本攻擊</t>
    <phoneticPr fontId="1" type="noConversion"/>
  </si>
  <si>
    <t>黑巧克力_特殊技能</t>
    <phoneticPr fontId="1" type="noConversion"/>
  </si>
  <si>
    <t>黑巧克力_絕招</t>
    <phoneticPr fontId="1" type="noConversion"/>
  </si>
  <si>
    <t>倍率設定</t>
    <phoneticPr fontId="1" type="noConversion"/>
  </si>
  <si>
    <t>蓄力完成</t>
    <phoneticPr fontId="1" type="noConversion"/>
  </si>
  <si>
    <t>普攻第1下</t>
    <phoneticPr fontId="1" type="noConversion"/>
  </si>
  <si>
    <t>普攻第2下</t>
    <phoneticPr fontId="1" type="noConversion"/>
  </si>
  <si>
    <t>普攻第3下</t>
    <phoneticPr fontId="1" type="noConversion"/>
  </si>
  <si>
    <t>大招</t>
  </si>
  <si>
    <t>小招(四星)</t>
  </si>
  <si>
    <t>被動</t>
    <phoneticPr fontId="1" type="noConversion"/>
  </si>
  <si>
    <t>黑巧克力_被動</t>
    <phoneticPr fontId="1" type="noConversion"/>
  </si>
  <si>
    <t>極度孤獨</t>
  </si>
  <si>
    <t>極度孤獨(二星)</t>
    <phoneticPr fontId="1" type="noConversion"/>
  </si>
  <si>
    <t>倍率設定/角色狀態</t>
    <phoneticPr fontId="1" type="noConversion"/>
  </si>
  <si>
    <t>小招第1下</t>
    <phoneticPr fontId="1" type="noConversion"/>
  </si>
  <si>
    <t>小招第2下</t>
    <phoneticPr fontId="1" type="noConversion"/>
  </si>
  <si>
    <t>小招第3下</t>
    <phoneticPr fontId="1" type="noConversion"/>
  </si>
  <si>
    <t>大招3連擊總和</t>
    <phoneticPr fontId="1" type="noConversion"/>
  </si>
  <si>
    <t>大招(五星+防穿)</t>
    <phoneticPr fontId="1" type="noConversion"/>
  </si>
  <si>
    <t>小招(四星+閃電)</t>
    <phoneticPr fontId="1" type="noConversion"/>
  </si>
  <si>
    <t>2倍傷害</t>
    <phoneticPr fontId="1" type="noConversion"/>
  </si>
  <si>
    <t>3.5倍傷害</t>
    <phoneticPr fontId="1" type="noConversion"/>
  </si>
  <si>
    <t>最大疊層的下一次普攻</t>
    <phoneticPr fontId="1" type="noConversion"/>
  </si>
  <si>
    <t>放技能的下一次普攻</t>
    <phoneticPr fontId="1" type="noConversion"/>
  </si>
  <si>
    <t>波浪</t>
    <phoneticPr fontId="1" type="noConversion"/>
  </si>
  <si>
    <t>波浪(五星)</t>
    <phoneticPr fontId="1" type="noConversion"/>
  </si>
  <si>
    <t>50防穿</t>
    <phoneticPr fontId="1" type="noConversion"/>
  </si>
  <si>
    <t>蓄力攻擊</t>
    <phoneticPr fontId="1" type="noConversion"/>
  </si>
  <si>
    <t>44-47</t>
    <phoneticPr fontId="1" type="noConversion"/>
  </si>
  <si>
    <t>蓄力攻擊(二星)</t>
    <phoneticPr fontId="1" type="noConversion"/>
  </si>
  <si>
    <t>騎士的資格</t>
    <phoneticPr fontId="1" type="noConversion"/>
  </si>
  <si>
    <t>給24%光屬性傷害</t>
    <phoneticPr fontId="1" type="noConversion"/>
  </si>
  <si>
    <t>履行任務</t>
    <phoneticPr fontId="1" type="noConversion"/>
  </si>
  <si>
    <t>攻速1.3倍，累積消耗100%標示敵人</t>
    <phoneticPr fontId="1" type="noConversion"/>
  </si>
  <si>
    <t>輔助帶忍者法寶卡切換輸出角色有buff?</t>
    <phoneticPr fontId="1" type="noConversion"/>
  </si>
  <si>
    <t>普攻第1下</t>
  </si>
  <si>
    <t>大招(疊滿被動)</t>
    <phoneticPr fontId="1" type="noConversion"/>
  </si>
  <si>
    <t>搖滾大招傷害吃得到他技能的進場後攻擊力%?</t>
    <phoneticPr fontId="1" type="noConversion"/>
  </si>
  <si>
    <t>普攻第4下</t>
    <phoneticPr fontId="1" type="noConversion"/>
  </si>
  <si>
    <t>辣椒碎片四星能給隊友火焰屬性傷害%嗎?</t>
    <phoneticPr fontId="1" type="noConversion"/>
  </si>
  <si>
    <t>檸檬</t>
    <phoneticPr fontId="1" type="noConversion"/>
  </si>
  <si>
    <t>大蕉卡增加傷害的區間也是進場後攻擊%?</t>
    <phoneticPr fontId="1" type="noConversion"/>
  </si>
  <si>
    <t>大招打三下的瞬間，看輔助的位置判定，觸發的有效範圍約2/3螢幕。</t>
    <phoneticPr fontId="1" type="noConversion"/>
  </si>
  <si>
    <t>黑莓法寶-暴傷</t>
    <phoneticPr fontId="1" type="noConversion"/>
  </si>
  <si>
    <t>黑莓套裝-暗屬性傷害%</t>
    <phoneticPr fontId="1" type="noConversion"/>
  </si>
  <si>
    <r>
      <t>半徑約紫</t>
    </r>
    <r>
      <rPr>
        <sz val="11"/>
        <color theme="1"/>
        <rFont val="Microsoft JhengHei UI"/>
        <family val="3"/>
        <charset val="136"/>
      </rPr>
      <t>玉</t>
    </r>
    <r>
      <rPr>
        <sz val="11"/>
        <color theme="1"/>
        <rFont val="細明體"/>
        <family val="3"/>
        <charset val="136"/>
      </rPr>
      <t>大招長度。看黑莓位置而不是燭台，範圍隨著黑莓移動改變。</t>
    </r>
    <phoneticPr fontId="1" type="noConversion"/>
  </si>
  <si>
    <t>不是，是屬性傷害%，超級爛，別用這張卡。</t>
    <phoneticPr fontId="1" type="noConversion"/>
  </si>
  <si>
    <t>可以疊加</t>
    <phoneticPr fontId="1" type="noConversion"/>
  </si>
  <si>
    <t>魔法師法寶卡切角能不能套用?</t>
    <phoneticPr fontId="1" type="noConversion"/>
  </si>
  <si>
    <t>努力的成果切角能不能套用?</t>
    <phoneticPr fontId="1" type="noConversion"/>
  </si>
  <si>
    <t>被喚醒的回憶切角能不能套用?</t>
    <phoneticPr fontId="1" type="noConversion"/>
  </si>
  <si>
    <t>增益(預設85)</t>
    <phoneticPr fontId="1" type="noConversion"/>
  </si>
  <si>
    <t>水風光</t>
  </si>
  <si>
    <t>蜂窩屬性加成</t>
    <phoneticPr fontId="1" type="noConversion"/>
  </si>
  <si>
    <t>大魔術套</t>
    <phoneticPr fontId="1" type="noConversion"/>
  </si>
  <si>
    <t>使用絕招?</t>
    <phoneticPr fontId="1" type="noConversion"/>
  </si>
  <si>
    <t>檸檬法寶卡有觸發?</t>
    <phoneticPr fontId="1" type="noConversion"/>
  </si>
  <si>
    <t>檸檬法寶卡</t>
    <phoneticPr fontId="1" type="noConversion"/>
  </si>
  <si>
    <t>大魔術師</t>
    <phoneticPr fontId="1" type="noConversion"/>
  </si>
  <si>
    <t>檸檬法寶</t>
    <phoneticPr fontId="1" type="noConversion"/>
  </si>
  <si>
    <t>鍊金卡</t>
    <phoneticPr fontId="1" type="noConversion"/>
  </si>
  <si>
    <t>忍者卡</t>
    <phoneticPr fontId="1" type="noConversion"/>
  </si>
  <si>
    <t>隊友
技能加成
(5+5)</t>
    <phoneticPr fontId="1" type="noConversion"/>
  </si>
  <si>
    <t>隊友
法寶卡</t>
    <phoneticPr fontId="1" type="noConversion"/>
  </si>
  <si>
    <t>糖果球法寶卡?</t>
    <phoneticPr fontId="1" type="noConversion"/>
  </si>
  <si>
    <t>鍊金卡不同輔助帶能疊加嗎?</t>
    <phoneticPr fontId="1" type="noConversion"/>
  </si>
  <si>
    <t>民謠(+40增益)?</t>
    <phoneticPr fontId="1" type="noConversion"/>
  </si>
  <si>
    <t>黑莓法寶離開區域有效果嗎?</t>
    <phoneticPr fontId="1" type="noConversion"/>
  </si>
  <si>
    <t>有，持續五秒</t>
    <phoneticPr fontId="1" type="noConversion"/>
  </si>
  <si>
    <t>穿透之光觸發後切角仍有效果嗎?</t>
    <phoneticPr fontId="1" type="noConversion"/>
  </si>
  <si>
    <r>
      <t>有效範圍約黑莓小招半徑(判定範圍很小)。看黑莓位置而不是燭台，範圍隨著黑莓移動改變。但只要有到範圍內一下，就能維持五秒該</t>
    </r>
    <r>
      <rPr>
        <sz val="11"/>
        <color theme="1"/>
        <rFont val="細明體"/>
        <family val="3"/>
        <charset val="136"/>
      </rPr>
      <t>buff</t>
    </r>
    <phoneticPr fontId="1" type="noConversion"/>
  </si>
  <si>
    <t>基本攻擊強化測試</t>
    <phoneticPr fontId="1" type="noConversion"/>
  </si>
  <si>
    <t>沒卡</t>
    <phoneticPr fontId="1" type="noConversion"/>
  </si>
  <si>
    <t>實際</t>
    <phoneticPr fontId="1" type="noConversion"/>
  </si>
  <si>
    <t>不調整</t>
    <phoneticPr fontId="1" type="noConversion"/>
  </si>
  <si>
    <t>調整D</t>
    <phoneticPr fontId="1" type="noConversion"/>
  </si>
  <si>
    <t>調整D:基本攻擊強化四捨五入到第一位</t>
    <phoneticPr fontId="1" type="noConversion"/>
  </si>
  <si>
    <t>錯誤</t>
    <phoneticPr fontId="1" type="noConversion"/>
  </si>
  <si>
    <t>檸檬皮4星並觸發獵人套裝</t>
    <phoneticPr fontId="1" type="noConversion"/>
  </si>
  <si>
    <r>
      <t>調整</t>
    </r>
    <r>
      <rPr>
        <sz val="11"/>
        <color theme="1"/>
        <rFont val="細明體"/>
        <family val="3"/>
        <charset val="136"/>
      </rPr>
      <t>B</t>
    </r>
    <phoneticPr fontId="1" type="noConversion"/>
  </si>
  <si>
    <r>
      <t>調整</t>
    </r>
    <r>
      <rPr>
        <sz val="11"/>
        <color theme="1"/>
        <rFont val="細明體"/>
        <family val="3"/>
        <charset val="136"/>
      </rPr>
      <t>C</t>
    </r>
    <phoneticPr fontId="1" type="noConversion"/>
  </si>
  <si>
    <t>調整BCD:暴擊傷害進位/捨棄/四捨五入到第一位</t>
    <phoneticPr fontId="1" type="noConversion"/>
  </si>
  <si>
    <t>調整B</t>
    <phoneticPr fontId="1" type="noConversion"/>
  </si>
  <si>
    <t>捨棄至整數位</t>
    <phoneticPr fontId="1" type="noConversion"/>
  </si>
  <si>
    <t>捨棄至小數點第一</t>
    <phoneticPr fontId="1" type="noConversion"/>
  </si>
  <si>
    <t>捨棄至小數點第二</t>
    <phoneticPr fontId="1" type="noConversion"/>
  </si>
  <si>
    <t>特製料理</t>
    <phoneticPr fontId="1" type="noConversion"/>
  </si>
  <si>
    <t>羅勒青醬</t>
    <phoneticPr fontId="1" type="noConversion"/>
  </si>
  <si>
    <t>特製料理2</t>
    <phoneticPr fontId="1" type="noConversion"/>
  </si>
  <si>
    <t>使用衝鋒，5秒+20特殊技能傷害%</t>
    <phoneticPr fontId="1" type="noConversion"/>
  </si>
  <si>
    <t>記憶的奧妙世界</t>
    <phoneticPr fontId="1" type="noConversion"/>
  </si>
  <si>
    <t>屬性標記時間</t>
    <phoneticPr fontId="1" type="noConversion"/>
  </si>
  <si>
    <t>冷卻時間</t>
    <phoneticPr fontId="1" type="noConversion"/>
  </si>
  <si>
    <t>大招擊中次數</t>
    <phoneticPr fontId="1" type="noConversion"/>
  </si>
  <si>
    <t>擊中</t>
    <phoneticPr fontId="1" type="noConversion"/>
  </si>
  <si>
    <t>持續</t>
    <phoneticPr fontId="1" type="noConversion"/>
  </si>
  <si>
    <t>技能有兩種</t>
    <phoneticPr fontId="1" type="noConversion"/>
  </si>
  <si>
    <t>範圍</t>
    <phoneticPr fontId="1" type="noConversion"/>
  </si>
  <si>
    <t>29?</t>
    <phoneticPr fontId="1" type="noConversion"/>
  </si>
  <si>
    <t>施法時間</t>
    <phoneticPr fontId="1" type="noConversion"/>
  </si>
  <si>
    <t>小+大</t>
    <phoneticPr fontId="1" type="noConversion"/>
  </si>
  <si>
    <t>暴擊率</t>
  </si>
  <si>
    <t>小+大</t>
    <phoneticPr fontId="1" type="noConversion"/>
  </si>
  <si>
    <t>小+大+小</t>
    <phoneticPr fontId="1" type="noConversion"/>
  </si>
  <si>
    <t>小+大總時間不變</t>
    <phoneticPr fontId="1" type="noConversion"/>
  </si>
  <si>
    <t>我先丟小過幾秒再丟大跟直接小大屬性標記總時間一樣</t>
    <phoneticPr fontId="1" type="noConversion"/>
  </si>
  <si>
    <t>屬性標記特性</t>
  </si>
  <si>
    <t>1. 小招/大招/小招+大招/小招+大招+小招的屬性標記持續時間不一樣</t>
  </si>
  <si>
    <t>2. 屬性標記持續的總時間不變，像是小+大+小，煉金就是19秒，假設你先丟小，過6秒再大，然後再過8秒小招好直接丟，只剩5秒</t>
  </si>
  <si>
    <t>貼王按小招，0.2秒進入CD，再過0.6秒有屬性標記</t>
    <phoneticPr fontId="1" type="noConversion"/>
  </si>
  <si>
    <t>大招過2秒有屬性標記</t>
    <phoneticPr fontId="1" type="noConversion"/>
  </si>
  <si>
    <t>屬性標記特性</t>
    <phoneticPr fontId="1" type="noConversion"/>
  </si>
  <si>
    <t>冠討_王</t>
    <phoneticPr fontId="1" type="noConversion"/>
  </si>
  <si>
    <t>冠討他說官方有時候會偷改</t>
    <phoneticPr fontId="1" type="noConversion"/>
  </si>
  <si>
    <t>額外設定</t>
    <phoneticPr fontId="1" type="noConversion"/>
  </si>
  <si>
    <t>大招後15秒+30屬性傷害%</t>
    <phoneticPr fontId="1" type="noConversion"/>
  </si>
  <si>
    <t>增益效果放大%</t>
    <phoneticPr fontId="1" type="noConversion"/>
  </si>
  <si>
    <t>大招後15秒，10減抗</t>
    <phoneticPr fontId="1" type="noConversion"/>
  </si>
  <si>
    <t>5減抗，10屬性傷害%</t>
    <phoneticPr fontId="1" type="noConversion"/>
  </si>
  <si>
    <t>開心果帶光端觸發怎麼樣?</t>
    <phoneticPr fontId="1" type="noConversion"/>
  </si>
  <si>
    <t>三次大觸發一次</t>
    <phoneticPr fontId="1" type="noConversion"/>
  </si>
  <si>
    <t>每次大都能觸發</t>
    <phoneticPr fontId="1" type="noConversion"/>
  </si>
  <si>
    <t>火拳帶光端觸發如何?</t>
    <phoneticPr fontId="1" type="noConversion"/>
  </si>
  <si>
    <t>火拳洗增益效果能不能加強四星效果?</t>
    <phoneticPr fontId="1" type="noConversion"/>
  </si>
  <si>
    <t>可以，隨著增益效果放大</t>
    <phoneticPr fontId="1" type="noConversion"/>
  </si>
  <si>
    <t>雪人套切換角色能不能吃到效果</t>
    <phoneticPr fontId="1" type="noConversion"/>
  </si>
  <si>
    <t>不行，必須穿雪人套的該角色在場才有效果</t>
    <phoneticPr fontId="1" type="noConversion"/>
  </si>
  <si>
    <t>第6次普攻多一個152%倍率傷害</t>
    <phoneticPr fontId="1" type="noConversion"/>
  </si>
  <si>
    <t>減益(預設110)</t>
    <phoneticPr fontId="1" type="noConversion"/>
  </si>
  <si>
    <t>初代作者</t>
    <phoneticPr fontId="1" type="noConversion"/>
  </si>
  <si>
    <t>桌球欸</t>
    <phoneticPr fontId="1" type="noConversion"/>
  </si>
  <si>
    <t>使用特殊技能，+10絕招傷害%(2層)</t>
    <phoneticPr fontId="1" type="noConversion"/>
  </si>
  <si>
    <t>冰岩</t>
  </si>
  <si>
    <t>冰岩</t>
    <phoneticPr fontId="1" type="noConversion"/>
  </si>
  <si>
    <t>覺醒的瞬間</t>
    <phoneticPr fontId="1" type="noConversion"/>
  </si>
  <si>
    <t>土屬性攻擊力</t>
  </si>
  <si>
    <t>獵人</t>
    <phoneticPr fontId="1" type="noConversion"/>
  </si>
  <si>
    <t>時間套</t>
    <phoneticPr fontId="1" type="noConversion"/>
  </si>
  <si>
    <t>英雄套</t>
    <phoneticPr fontId="1" type="noConversion"/>
  </si>
  <si>
    <t>被遺忘的英雄</t>
    <phoneticPr fontId="1" type="noConversion"/>
  </si>
  <si>
    <t>小</t>
    <phoneticPr fontId="1" type="noConversion"/>
  </si>
  <si>
    <t>普攻總傷</t>
    <phoneticPr fontId="1" type="noConversion"/>
  </si>
  <si>
    <t>小招總傷</t>
    <phoneticPr fontId="1" type="noConversion"/>
  </si>
  <si>
    <t>大招的小</t>
    <phoneticPr fontId="1" type="noConversion"/>
  </si>
  <si>
    <t>總大招</t>
    <phoneticPr fontId="1" type="noConversion"/>
  </si>
  <si>
    <t>總小招</t>
    <phoneticPr fontId="1" type="noConversion"/>
  </si>
  <si>
    <t>非大的小</t>
    <phoneticPr fontId="1" type="noConversion"/>
  </si>
  <si>
    <t>總普攻</t>
    <phoneticPr fontId="1" type="noConversion"/>
  </si>
  <si>
    <t>非大-每秒攻擊次數</t>
    <phoneticPr fontId="1" type="noConversion"/>
  </si>
  <si>
    <t>大-每秒攻擊次數</t>
    <phoneticPr fontId="1" type="noConversion"/>
  </si>
  <si>
    <t>2.4秒打3下</t>
    <phoneticPr fontId="1" type="noConversion"/>
  </si>
  <si>
    <t>2.2秒打4下</t>
    <phoneticPr fontId="1" type="noConversion"/>
  </si>
  <si>
    <t>開大僵直</t>
    <phoneticPr fontId="1" type="noConversion"/>
  </si>
  <si>
    <t>1.8秒</t>
    <phoneticPr fontId="1" type="noConversion"/>
  </si>
  <si>
    <t>16秒</t>
    <phoneticPr fontId="1" type="noConversion"/>
  </si>
  <si>
    <t>小招施放共</t>
    <phoneticPr fontId="1" type="noConversion"/>
  </si>
  <si>
    <t>1秒</t>
    <phoneticPr fontId="1" type="noConversion"/>
  </si>
  <si>
    <t>大招的普攻</t>
    <phoneticPr fontId="1" type="noConversion"/>
  </si>
  <si>
    <t>大招期間</t>
    <phoneticPr fontId="1" type="noConversion"/>
  </si>
  <si>
    <t>兩小+8下</t>
    <phoneticPr fontId="1" type="noConversion"/>
  </si>
  <si>
    <t>普攻倍率</t>
    <phoneticPr fontId="1" type="noConversion"/>
  </si>
  <si>
    <t>開大後</t>
    <phoneticPr fontId="1" type="noConversion"/>
  </si>
  <si>
    <t>一般狀態</t>
    <phoneticPr fontId="1" type="noConversion"/>
  </si>
  <si>
    <t>衝鋒</t>
    <phoneticPr fontId="1" type="noConversion"/>
  </si>
  <si>
    <t>開大兩套總傷</t>
    <phoneticPr fontId="1" type="noConversion"/>
  </si>
  <si>
    <t>獵人套</t>
    <phoneticPr fontId="1" type="noConversion"/>
  </si>
  <si>
    <t>非時間套</t>
    <phoneticPr fontId="1" type="noConversion"/>
  </si>
  <si>
    <t>1.6除以1.15</t>
    <phoneticPr fontId="1" type="noConversion"/>
  </si>
  <si>
    <t>100%傷害</t>
    <phoneticPr fontId="1" type="noConversion"/>
  </si>
  <si>
    <t>時間管理局制服</t>
  </si>
  <si>
    <t>暴擊傷害</t>
  </si>
  <si>
    <t>100%倍率</t>
    <phoneticPr fontId="1" type="noConversion"/>
  </si>
  <si>
    <t>攻擊力</t>
  </si>
  <si>
    <t>作戰開始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</si>
</sst>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"/>
    <numFmt numFmtId="177" formatCode="0.000"/>
  </numFmts>
  <fonts count="125" x14ac:knownFonts="1">
    <font>
      <sz val="11"/>
      <color theme="1"/>
      <name val="新細明體"/>
      <family val="2"/>
      <scheme val="minor"/>
    </font>
    <font>
      <sz val="9"/>
      <name val="新細明體"/>
      <family val="3"/>
      <charset val="136"/>
      <scheme val="minor"/>
    </font>
    <font>
      <sz val="12"/>
      <color theme="1"/>
      <name val="微軟正黑體"/>
      <family val="2"/>
      <charset val="136"/>
    </font>
    <font>
      <b/>
      <sz val="12"/>
      <color theme="1"/>
      <name val="微軟正黑體"/>
      <family val="2"/>
      <charset val="136"/>
    </font>
    <font>
      <b/>
      <sz val="12"/>
      <color rgb="FFFF0000"/>
      <name val="微軟正黑體"/>
      <family val="2"/>
      <charset val="136"/>
    </font>
    <font>
      <sz val="11"/>
      <color theme="1"/>
      <name val="MiSans"/>
    </font>
    <font>
      <u/>
      <sz val="11"/>
      <color theme="10"/>
      <name val="新細明體"/>
      <family val="2"/>
      <scheme val="minor"/>
    </font>
    <font>
      <sz val="11"/>
      <color theme="1"/>
      <name val="MiSans"/>
    </font>
    <font>
      <sz val="10"/>
      <color theme="1"/>
      <name val="細明體"/>
      <family val="3"/>
      <charset val="136"/>
    </font>
    <font>
      <sz val="9"/>
      <color indexed="81"/>
      <name val="Tahoma"/>
      <family val="2"/>
    </font>
    <font>
      <sz val="11"/>
      <color theme="1"/>
      <name val="MiSans"/>
    </font>
    <font>
      <sz val="11"/>
      <color theme="1"/>
      <name val="細明體"/>
      <family val="3"/>
      <charset val="136"/>
    </font>
    <font>
      <sz val="11"/>
      <color theme="1"/>
      <name val="MiSans"/>
      <family val="1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  <family val="3"/>
    </font>
    <font>
      <sz val="11"/>
      <color theme="1"/>
      <name val="新細明體"/>
      <family val="1"/>
      <charset val="136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0"/>
      <color theme="1"/>
      <name val="MiSans"/>
    </font>
    <font>
      <sz val="11"/>
      <color theme="1"/>
      <name val="MiSans"/>
    </font>
    <font>
      <sz val="10"/>
      <color rgb="FF7030A0"/>
      <name val="MiSans"/>
    </font>
    <font>
      <sz val="9"/>
      <color indexed="81"/>
      <name val="MiSans"/>
    </font>
    <font>
      <sz val="8"/>
      <color theme="1"/>
      <name val="MiSans"/>
    </font>
    <font>
      <sz val="11"/>
      <color theme="1"/>
      <name val="MiSans"/>
    </font>
    <font>
      <sz val="11"/>
      <color rgb="FFFF0000"/>
      <name val="MiSans"/>
    </font>
    <font>
      <sz val="11"/>
      <color theme="0" tint="-0.34998626667073579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0"/>
      <color theme="1"/>
      <name val="MiSans"/>
    </font>
    <font>
      <sz val="11"/>
      <color theme="1"/>
      <name val="MiSans"/>
    </font>
    <font>
      <b/>
      <sz val="11"/>
      <color rgb="FFFF0000"/>
      <name val="MiSans"/>
    </font>
    <font>
      <sz val="11"/>
      <color theme="1"/>
      <name val="MiSans"/>
    </font>
    <font>
      <sz val="11"/>
      <color theme="1"/>
      <name val="MiSans"/>
    </font>
    <font>
      <sz val="10"/>
      <color theme="1"/>
      <name val="MiSans"/>
    </font>
    <font>
      <sz val="10"/>
      <color theme="1"/>
      <name val="MiSans"/>
    </font>
    <font>
      <sz val="10"/>
      <color theme="1"/>
      <name val="MiSans"/>
    </font>
    <font>
      <sz val="11"/>
      <color theme="1"/>
      <name val="MiSans"/>
    </font>
    <font>
      <b/>
      <sz val="9"/>
      <color indexed="81"/>
      <name val="Tahoma"/>
      <family val="2"/>
    </font>
    <font>
      <b/>
      <sz val="9"/>
      <color indexed="81"/>
      <name val="細明體"/>
      <family val="3"/>
      <charset val="136"/>
    </font>
    <font>
      <sz val="11"/>
      <color theme="1"/>
      <name val="MiSans"/>
    </font>
    <font>
      <sz val="11"/>
      <color rgb="FF7030A0"/>
      <name val="MiSans"/>
    </font>
    <font>
      <b/>
      <sz val="11"/>
      <color theme="1"/>
      <name val="MiSans Demibold"/>
    </font>
    <font>
      <sz val="11"/>
      <color theme="1"/>
      <name val="MiSans Heavy"/>
    </font>
    <font>
      <sz val="6"/>
      <color theme="1"/>
      <name val="MiSans"/>
    </font>
    <font>
      <sz val="11"/>
      <color theme="1"/>
      <name val="MiSans"/>
    </font>
    <font>
      <sz val="10"/>
      <color theme="1"/>
      <name val="MiSans"/>
    </font>
    <font>
      <sz val="11"/>
      <color rgb="FFFF0000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rgb="FFFF0000"/>
      <name val="MiSans"/>
    </font>
    <font>
      <sz val="11"/>
      <color rgb="FFFF0000"/>
      <name val="新細明體"/>
      <family val="1"/>
      <charset val="136"/>
    </font>
    <font>
      <sz val="11"/>
      <color theme="1"/>
      <name val="MiSans Heavy"/>
    </font>
    <font>
      <sz val="11"/>
      <color theme="1"/>
      <name val="MiSans"/>
    </font>
    <font>
      <sz val="11"/>
      <color theme="1"/>
      <name val="MiSans Heavy"/>
    </font>
    <font>
      <sz val="11"/>
      <color rgb="FF7030A0"/>
      <name val="MiSans Heavy"/>
    </font>
    <font>
      <sz val="11"/>
      <color theme="5" tint="-0.249977111117893"/>
      <name val="MiSans Heavy"/>
    </font>
    <font>
      <sz val="11"/>
      <color theme="1"/>
      <name val="MiSans"/>
    </font>
    <font>
      <sz val="11"/>
      <color theme="1"/>
      <name val="MiSans"/>
    </font>
    <font>
      <sz val="22"/>
      <color theme="1"/>
      <name val="MiSans"/>
    </font>
    <font>
      <sz val="16"/>
      <color rgb="FF7030A0"/>
      <name val="MiSans"/>
    </font>
    <font>
      <sz val="10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0"/>
      <color theme="1"/>
      <name val="MiSans"/>
    </font>
    <font>
      <sz val="10"/>
      <color theme="1"/>
      <name val="MiSans"/>
    </font>
    <font>
      <sz val="11"/>
      <color theme="1"/>
      <name val="MiSans"/>
    </font>
    <font>
      <b/>
      <sz val="10"/>
      <color rgb="FF7030A0"/>
      <name val="MiSans"/>
    </font>
    <font>
      <b/>
      <sz val="11"/>
      <color rgb="FF7030A0"/>
      <name val="MiSans"/>
    </font>
    <font>
      <b/>
      <sz val="11"/>
      <color rgb="FFFF0000"/>
      <name val="MiSans"/>
    </font>
    <font>
      <sz val="10"/>
      <color theme="1"/>
      <name val="MiSans"/>
    </font>
    <font>
      <b/>
      <sz val="11"/>
      <color rgb="FFFF0000"/>
      <name val="MiSans"/>
    </font>
    <font>
      <sz val="8"/>
      <color theme="1"/>
      <name val="MiSans"/>
    </font>
    <font>
      <sz val="11"/>
      <color theme="1"/>
      <name val="MiSans"/>
    </font>
    <font>
      <b/>
      <sz val="11"/>
      <color rgb="FFFF0000"/>
      <name val="MiSans"/>
    </font>
    <font>
      <sz val="11"/>
      <color theme="1"/>
      <name val="MiSans"/>
    </font>
    <font>
      <b/>
      <sz val="11"/>
      <color rgb="FFFF0000"/>
      <name val="MiSans"/>
    </font>
    <font>
      <sz val="11"/>
      <color theme="1"/>
      <name val="MiSans"/>
    </font>
    <font>
      <sz val="10"/>
      <color theme="1"/>
      <name val="MiSans"/>
    </font>
    <font>
      <sz val="11"/>
      <color theme="1"/>
      <name val="MiSans"/>
    </font>
    <font>
      <b/>
      <sz val="10"/>
      <color rgb="FF7030A0"/>
      <name val="MiSans"/>
    </font>
    <font>
      <b/>
      <sz val="10"/>
      <color rgb="FF0070C0"/>
      <name val="MiSans"/>
    </font>
    <font>
      <b/>
      <sz val="10"/>
      <color rgb="FFFF0000"/>
      <name val="MiSans"/>
    </font>
    <font>
      <b/>
      <sz val="10"/>
      <color theme="1"/>
      <name val="MiSans"/>
    </font>
    <font>
      <sz val="11"/>
      <color theme="1"/>
      <name val="MiSans"/>
    </font>
    <font>
      <u/>
      <sz val="11"/>
      <color theme="10"/>
      <name val="MiSans"/>
    </font>
    <font>
      <sz val="11"/>
      <color rgb="FFFF0000"/>
      <name val="MiSans"/>
    </font>
    <font>
      <sz val="11"/>
      <color theme="1"/>
      <name val="MiSans"/>
    </font>
    <font>
      <sz val="11"/>
      <color theme="1"/>
      <name val="Microsoft JhengHei UI"/>
      <family val="3"/>
      <charset val="136"/>
    </font>
    <font>
      <sz val="11"/>
      <color theme="1"/>
      <name val="MiSans"/>
    </font>
    <font>
      <sz val="10"/>
      <color theme="1"/>
      <name val="MiSans"/>
    </font>
    <font>
      <sz val="10"/>
      <color theme="1"/>
      <name val="MiSans"/>
    </font>
    <font>
      <sz val="10"/>
      <color theme="1"/>
      <name val="MiSans"/>
    </font>
    <font>
      <sz val="10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0"/>
      <color theme="1"/>
      <name val="MiSans"/>
    </font>
    <font>
      <sz val="11"/>
      <color theme="1"/>
      <name val="MiSans"/>
    </font>
    <font>
      <sz val="10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1"/>
      <color theme="1"/>
      <name val="MiSans"/>
    </font>
    <font>
      <sz val="10"/>
      <color rgb="FFFF0000"/>
      <name val="MiSans"/>
    </font>
    <font>
      <sz val="11"/>
      <color rgb="FFFF0000"/>
      <name val="MiSans"/>
    </font>
    <font>
      <sz val="11"/>
      <color theme="1"/>
      <name val="MiSans"/>
    </font>
    <font>
      <sz val="10"/>
      <color theme="1"/>
      <name val="MiSans"/>
    </font>
    <font>
      <sz val="11"/>
      <color theme="1"/>
      <name val="MiSans"/>
    </font>
    <font>
      <sz val="10"/>
      <color theme="1"/>
      <name val="MiSans"/>
    </font>
    <font>
      <sz val="11"/>
      <color rgb="FFFF0000"/>
      <name val="新細明體"/>
      <family val="2"/>
      <scheme val="minor"/>
    </font>
    <font>
      <sz val="11"/>
      <color rgb="FFFF0000"/>
      <name val="新細明體"/>
      <family val="1"/>
      <charset val="136"/>
      <scheme val="minor"/>
    </font>
    <font>
      <sz val="10"/>
      <color theme="1"/>
      <name val="新細明體"/>
      <family val="1"/>
      <charset val="136"/>
    </font>
  </fonts>
  <fills count="20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EEE1F7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DECE3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2"/>
        <bgColor indexed="64"/>
      </patternFill>
    </fill>
  </fills>
  <borders count="10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rgb="FF7030A0"/>
      </bottom>
      <diagonal/>
    </border>
    <border>
      <left style="medium">
        <color rgb="FF00B0F0"/>
      </left>
      <right style="medium">
        <color rgb="FF00B0F0"/>
      </right>
      <top style="medium">
        <color rgb="FF00B0F0"/>
      </top>
      <bottom style="medium">
        <color rgb="FF00B0F0"/>
      </bottom>
      <diagonal/>
    </border>
    <border>
      <left style="medium">
        <color rgb="FF00B0F0"/>
      </left>
      <right style="thin">
        <color indexed="64"/>
      </right>
      <top style="medium">
        <color rgb="FF00B0F0"/>
      </top>
      <bottom style="medium">
        <color rgb="FF00B0F0"/>
      </bottom>
      <diagonal/>
    </border>
    <border>
      <left style="thin">
        <color indexed="64"/>
      </left>
      <right style="medium">
        <color rgb="FF00B0F0"/>
      </right>
      <top style="medium">
        <color rgb="FF00B0F0"/>
      </top>
      <bottom style="medium">
        <color rgb="FF00B0F0"/>
      </bottom>
      <diagonal/>
    </border>
    <border>
      <left style="thin">
        <color indexed="64"/>
      </left>
      <right style="thin">
        <color indexed="64"/>
      </right>
      <top style="medium">
        <color rgb="FF00B0F0"/>
      </top>
      <bottom style="medium">
        <color rgb="FF00B0F0"/>
      </bottom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/>
      <diagonal/>
    </border>
    <border>
      <left style="thin">
        <color indexed="64"/>
      </left>
      <right/>
      <top style="thin">
        <color theme="1"/>
      </top>
      <bottom style="thin">
        <color theme="1"/>
      </bottom>
      <diagonal/>
    </border>
    <border>
      <left/>
      <right/>
      <top style="thin">
        <color rgb="FF00B0F0"/>
      </top>
      <bottom/>
      <diagonal/>
    </border>
    <border>
      <left style="thin">
        <color rgb="FF00B0F0"/>
      </left>
      <right style="thin">
        <color rgb="FF00B0F0"/>
      </right>
      <top style="thin">
        <color rgb="FF00B0F0"/>
      </top>
      <bottom style="thin">
        <color rgb="FF00B0F0"/>
      </bottom>
      <diagonal/>
    </border>
    <border>
      <left style="thin">
        <color rgb="FF00B0F0"/>
      </left>
      <right/>
      <top style="thin">
        <color rgb="FF00B0F0"/>
      </top>
      <bottom style="thin">
        <color rgb="FF00B0F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theme="1"/>
      </left>
      <right style="thin">
        <color indexed="64"/>
      </right>
      <top style="thin">
        <color theme="1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rgb="FF7030A0"/>
      </left>
      <right style="thin">
        <color indexed="64"/>
      </right>
      <top style="medium">
        <color rgb="FF7030A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rgb="FF7030A0"/>
      </top>
      <bottom style="thin">
        <color indexed="64"/>
      </bottom>
      <diagonal/>
    </border>
    <border>
      <left style="thin">
        <color indexed="64"/>
      </left>
      <right style="medium">
        <color rgb="FF7030A0"/>
      </right>
      <top style="medium">
        <color rgb="FF7030A0"/>
      </top>
      <bottom style="thin">
        <color indexed="64"/>
      </bottom>
      <diagonal/>
    </border>
    <border>
      <left style="medium">
        <color rgb="FF7030A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rgb="FF7030A0"/>
      </right>
      <top style="thin">
        <color indexed="64"/>
      </top>
      <bottom style="thin">
        <color indexed="64"/>
      </bottom>
      <diagonal/>
    </border>
    <border>
      <left/>
      <right style="medium">
        <color rgb="FF7030A0"/>
      </right>
      <top/>
      <bottom/>
      <diagonal/>
    </border>
    <border>
      <left style="medium">
        <color rgb="FF7030A0"/>
      </left>
      <right style="thin">
        <color indexed="64"/>
      </right>
      <top style="thin">
        <color indexed="64"/>
      </top>
      <bottom style="medium">
        <color rgb="FF7030A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rgb="FF7030A0"/>
      </bottom>
      <diagonal/>
    </border>
    <border>
      <left style="thin">
        <color indexed="64"/>
      </left>
      <right style="medium">
        <color rgb="FF7030A0"/>
      </right>
      <top style="thin">
        <color indexed="64"/>
      </top>
      <bottom style="medium">
        <color rgb="FF7030A0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theme="1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thin">
        <color indexed="64"/>
      </right>
      <top style="medium">
        <color theme="1"/>
      </top>
      <bottom style="medium">
        <color theme="1"/>
      </bottom>
      <diagonal/>
    </border>
    <border>
      <left style="thin">
        <color indexed="64"/>
      </left>
      <right style="medium">
        <color theme="1"/>
      </right>
      <top style="medium">
        <color theme="1"/>
      </top>
      <bottom style="medium">
        <color theme="1"/>
      </bottom>
      <diagonal/>
    </border>
    <border>
      <left style="medium">
        <color theme="1"/>
      </left>
      <right style="medium">
        <color theme="1"/>
      </right>
      <top style="medium">
        <color theme="1"/>
      </top>
      <bottom style="thin">
        <color indexed="64"/>
      </bottom>
      <diagonal/>
    </border>
    <border>
      <left style="medium">
        <color theme="1"/>
      </left>
      <right style="medium">
        <color theme="1"/>
      </right>
      <top style="thin">
        <color indexed="64"/>
      </top>
      <bottom style="thin">
        <color indexed="64"/>
      </bottom>
      <diagonal/>
    </border>
    <border>
      <left style="medium">
        <color theme="1"/>
      </left>
      <right style="medium">
        <color theme="1"/>
      </right>
      <top style="thin">
        <color indexed="64"/>
      </top>
      <bottom style="medium">
        <color theme="1"/>
      </bottom>
      <diagonal/>
    </border>
    <border>
      <left style="medium">
        <color theme="1"/>
      </left>
      <right style="medium">
        <color theme="1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theme="1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theme="1"/>
      </right>
      <top style="thin">
        <color indexed="64"/>
      </top>
      <bottom/>
      <diagonal/>
    </border>
  </borders>
  <cellStyleXfs count="2">
    <xf numFmtId="0" fontId="0" fillId="0" borderId="0"/>
    <xf numFmtId="0" fontId="6" fillId="0" borderId="0" applyNumberFormat="0" applyFill="0" applyBorder="0" applyAlignment="0" applyProtection="0"/>
  </cellStyleXfs>
  <cellXfs count="638">
    <xf numFmtId="0" fontId="0" fillId="0" borderId="0" xfId="0"/>
    <xf numFmtId="0" fontId="0" fillId="0" borderId="0" xfId="0" applyAlignment="1">
      <alignment horizontal="center" vertical="center"/>
    </xf>
    <xf numFmtId="0" fontId="4" fillId="4" borderId="1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0" fillId="0" borderId="1" xfId="0" applyBorder="1"/>
    <xf numFmtId="0" fontId="6" fillId="0" borderId="0" xfId="1"/>
    <xf numFmtId="0" fontId="5" fillId="6" borderId="1" xfId="0" applyFont="1" applyFill="1" applyBorder="1" applyAlignment="1">
      <alignment horizontal="center" vertical="center"/>
    </xf>
    <xf numFmtId="0" fontId="7" fillId="0" borderId="0" xfId="0" applyFont="1"/>
    <xf numFmtId="0" fontId="7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0" fillId="0" borderId="0" xfId="0" applyFont="1"/>
    <xf numFmtId="176" fontId="10" fillId="0" borderId="0" xfId="0" applyNumberFormat="1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10" fillId="0" borderId="9" xfId="0" applyFont="1" applyBorder="1" applyAlignment="1">
      <alignment horizontal="center" vertical="center"/>
    </xf>
    <xf numFmtId="0" fontId="10" fillId="0" borderId="10" xfId="0" applyFont="1" applyBorder="1" applyAlignment="1">
      <alignment horizontal="center" vertical="center"/>
    </xf>
    <xf numFmtId="0" fontId="10" fillId="0" borderId="11" xfId="0" applyFont="1" applyBorder="1" applyAlignment="1">
      <alignment horizontal="center" vertical="center"/>
    </xf>
    <xf numFmtId="176" fontId="10" fillId="0" borderId="12" xfId="0" applyNumberFormat="1" applyFont="1" applyBorder="1" applyAlignment="1">
      <alignment horizontal="center" vertical="center"/>
    </xf>
    <xf numFmtId="1" fontId="10" fillId="0" borderId="9" xfId="0" applyNumberFormat="1" applyFont="1" applyBorder="1" applyAlignment="1">
      <alignment horizontal="center" vertical="center"/>
    </xf>
    <xf numFmtId="1" fontId="10" fillId="0" borderId="11" xfId="0" applyNumberFormat="1" applyFont="1" applyBorder="1" applyAlignment="1">
      <alignment horizontal="center" vertical="center"/>
    </xf>
    <xf numFmtId="1" fontId="10" fillId="0" borderId="12" xfId="0" applyNumberFormat="1" applyFont="1" applyBorder="1" applyAlignment="1">
      <alignment horizontal="center" vertical="center"/>
    </xf>
    <xf numFmtId="0" fontId="13" fillId="0" borderId="9" xfId="0" applyFont="1" applyBorder="1" applyAlignment="1">
      <alignment horizontal="center" vertical="center"/>
    </xf>
    <xf numFmtId="0" fontId="13" fillId="0" borderId="6" xfId="0" applyFont="1" applyBorder="1" applyAlignment="1">
      <alignment horizontal="center" vertical="center"/>
    </xf>
    <xf numFmtId="0" fontId="13" fillId="0" borderId="7" xfId="0" applyFont="1" applyBorder="1" applyAlignment="1">
      <alignment horizontal="center" vertical="center"/>
    </xf>
    <xf numFmtId="0" fontId="13" fillId="0" borderId="11" xfId="0" applyFont="1" applyBorder="1" applyAlignment="1">
      <alignment horizontal="center" vertical="center"/>
    </xf>
    <xf numFmtId="0" fontId="13" fillId="0" borderId="12" xfId="0" applyFont="1" applyBorder="1" applyAlignment="1">
      <alignment horizontal="center" vertical="center"/>
    </xf>
    <xf numFmtId="0" fontId="15" fillId="0" borderId="0" xfId="0" applyFont="1" applyAlignment="1">
      <alignment horizontal="center" vertical="center"/>
    </xf>
    <xf numFmtId="2" fontId="10" fillId="0" borderId="0" xfId="0" applyNumberFormat="1" applyFont="1" applyAlignment="1">
      <alignment horizontal="center" vertical="center"/>
    </xf>
    <xf numFmtId="1" fontId="10" fillId="0" borderId="0" xfId="0" applyNumberFormat="1" applyFont="1" applyAlignment="1">
      <alignment horizontal="center" vertical="center"/>
    </xf>
    <xf numFmtId="0" fontId="16" fillId="0" borderId="1" xfId="0" applyFont="1" applyBorder="1" applyAlignment="1">
      <alignment horizontal="center" vertical="center"/>
    </xf>
    <xf numFmtId="0" fontId="16" fillId="0" borderId="11" xfId="0" applyFont="1" applyBorder="1" applyAlignment="1">
      <alignment horizontal="center" vertical="center"/>
    </xf>
    <xf numFmtId="176" fontId="10" fillId="0" borderId="9" xfId="0" applyNumberFormat="1" applyFont="1" applyBorder="1" applyAlignment="1">
      <alignment horizontal="center" vertical="center"/>
    </xf>
    <xf numFmtId="0" fontId="10" fillId="0" borderId="12" xfId="0" applyFont="1" applyBorder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176" fontId="17" fillId="0" borderId="0" xfId="0" applyNumberFormat="1" applyFont="1" applyAlignment="1">
      <alignment horizontal="center" vertical="center"/>
    </xf>
    <xf numFmtId="0" fontId="17" fillId="0" borderId="0" xfId="0" applyFont="1"/>
    <xf numFmtId="49" fontId="0" fillId="0" borderId="0" xfId="0" applyNumberFormat="1"/>
    <xf numFmtId="0" fontId="19" fillId="0" borderId="5" xfId="0" applyFont="1" applyBorder="1" applyAlignment="1">
      <alignment horizontal="center" vertical="center"/>
    </xf>
    <xf numFmtId="0" fontId="19" fillId="0" borderId="11" xfId="0" applyFont="1" applyBorder="1" applyAlignment="1">
      <alignment horizontal="center" vertical="center"/>
    </xf>
    <xf numFmtId="0" fontId="19" fillId="0" borderId="12" xfId="0" applyFont="1" applyBorder="1" applyAlignment="1">
      <alignment horizontal="center" vertical="center"/>
    </xf>
    <xf numFmtId="0" fontId="19" fillId="0" borderId="8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21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1" fillId="6" borderId="1" xfId="0" applyFont="1" applyFill="1" applyBorder="1" applyAlignment="1">
      <alignment horizontal="center" vertical="center"/>
    </xf>
    <xf numFmtId="0" fontId="23" fillId="0" borderId="1" xfId="0" applyFont="1" applyBorder="1" applyAlignment="1">
      <alignment horizontal="center" vertical="center"/>
    </xf>
    <xf numFmtId="0" fontId="22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19" fillId="0" borderId="23" xfId="0" applyFont="1" applyBorder="1" applyAlignment="1">
      <alignment horizontal="center" vertical="center"/>
    </xf>
    <xf numFmtId="0" fontId="19" fillId="0" borderId="24" xfId="0" applyFont="1" applyBorder="1" applyAlignment="1">
      <alignment horizontal="center" vertical="center"/>
    </xf>
    <xf numFmtId="0" fontId="19" fillId="0" borderId="25" xfId="0" applyFont="1" applyBorder="1" applyAlignment="1">
      <alignment horizontal="center" vertical="center"/>
    </xf>
    <xf numFmtId="0" fontId="19" fillId="0" borderId="16" xfId="0" applyFont="1" applyBorder="1" applyAlignment="1">
      <alignment horizontal="center" vertical="center"/>
    </xf>
    <xf numFmtId="0" fontId="19" fillId="0" borderId="13" xfId="0" applyFont="1" applyBorder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27" fillId="0" borderId="1" xfId="0" applyFont="1" applyBorder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28" fillId="0" borderId="0" xfId="0" applyFont="1"/>
    <xf numFmtId="0" fontId="19" fillId="0" borderId="32" xfId="0" applyFont="1" applyBorder="1" applyAlignment="1">
      <alignment horizontal="center" vertical="center"/>
    </xf>
    <xf numFmtId="0" fontId="19" fillId="0" borderId="33" xfId="0" applyFont="1" applyBorder="1" applyAlignment="1">
      <alignment horizontal="center" vertical="center"/>
    </xf>
    <xf numFmtId="0" fontId="19" fillId="0" borderId="34" xfId="0" applyFont="1" applyBorder="1" applyAlignment="1">
      <alignment horizontal="center" vertical="center"/>
    </xf>
    <xf numFmtId="0" fontId="19" fillId="0" borderId="47" xfId="0" applyFont="1" applyBorder="1" applyAlignment="1">
      <alignment horizontal="center" vertical="center"/>
    </xf>
    <xf numFmtId="0" fontId="32" fillId="0" borderId="47" xfId="0" applyFont="1" applyBorder="1" applyAlignment="1">
      <alignment horizontal="center" vertical="center"/>
    </xf>
    <xf numFmtId="2" fontId="19" fillId="0" borderId="47" xfId="0" applyNumberFormat="1" applyFont="1" applyBorder="1" applyAlignment="1">
      <alignment horizontal="center" vertical="center"/>
    </xf>
    <xf numFmtId="0" fontId="19" fillId="0" borderId="48" xfId="0" applyFont="1" applyBorder="1" applyAlignment="1">
      <alignment horizontal="center" vertical="center"/>
    </xf>
    <xf numFmtId="0" fontId="32" fillId="0" borderId="0" xfId="0" applyFont="1" applyAlignment="1">
      <alignment horizontal="center" vertical="center"/>
    </xf>
    <xf numFmtId="0" fontId="19" fillId="0" borderId="43" xfId="0" applyFont="1" applyBorder="1" applyAlignment="1">
      <alignment horizontal="center" vertical="center"/>
    </xf>
    <xf numFmtId="0" fontId="32" fillId="0" borderId="8" xfId="0" applyFont="1" applyBorder="1" applyAlignment="1">
      <alignment horizontal="center" vertical="center"/>
    </xf>
    <xf numFmtId="0" fontId="32" fillId="0" borderId="9" xfId="0" applyFont="1" applyBorder="1" applyAlignment="1">
      <alignment horizontal="center" vertical="center"/>
    </xf>
    <xf numFmtId="1" fontId="10" fillId="0" borderId="10" xfId="0" applyNumberFormat="1" applyFont="1" applyBorder="1" applyAlignment="1">
      <alignment horizontal="center" vertical="center"/>
    </xf>
    <xf numFmtId="0" fontId="32" fillId="0" borderId="10" xfId="0" applyFont="1" applyBorder="1" applyAlignment="1">
      <alignment horizontal="center" vertical="center"/>
    </xf>
    <xf numFmtId="2" fontId="33" fillId="0" borderId="11" xfId="0" applyNumberFormat="1" applyFont="1" applyBorder="1" applyAlignment="1">
      <alignment horizontal="center" vertical="center"/>
    </xf>
    <xf numFmtId="0" fontId="34" fillId="0" borderId="10" xfId="0" applyFont="1" applyBorder="1" applyAlignment="1">
      <alignment horizontal="center" vertical="center"/>
    </xf>
    <xf numFmtId="0" fontId="34" fillId="0" borderId="11" xfId="0" applyFont="1" applyBorder="1" applyAlignment="1">
      <alignment horizontal="center" vertical="center"/>
    </xf>
    <xf numFmtId="0" fontId="34" fillId="0" borderId="23" xfId="0" applyFont="1" applyBorder="1" applyAlignment="1">
      <alignment horizontal="center" vertical="center"/>
    </xf>
    <xf numFmtId="0" fontId="34" fillId="0" borderId="24" xfId="0" applyFont="1" applyBorder="1" applyAlignment="1">
      <alignment horizontal="center" vertical="center"/>
    </xf>
    <xf numFmtId="0" fontId="25" fillId="0" borderId="0" xfId="0" applyFont="1" applyAlignment="1">
      <alignment horizontal="center" vertical="center"/>
    </xf>
    <xf numFmtId="0" fontId="35" fillId="0" borderId="0" xfId="0" applyFont="1" applyAlignment="1">
      <alignment horizontal="center" vertical="center"/>
    </xf>
    <xf numFmtId="0" fontId="36" fillId="0" borderId="0" xfId="0" applyFont="1" applyAlignment="1">
      <alignment horizontal="center" vertical="center"/>
    </xf>
    <xf numFmtId="0" fontId="36" fillId="0" borderId="1" xfId="0" applyFont="1" applyBorder="1" applyAlignment="1">
      <alignment horizontal="center" vertical="center"/>
    </xf>
    <xf numFmtId="0" fontId="36" fillId="11" borderId="1" xfId="0" applyFont="1" applyFill="1" applyBorder="1" applyAlignment="1">
      <alignment horizontal="center" vertical="center"/>
    </xf>
    <xf numFmtId="176" fontId="36" fillId="11" borderId="1" xfId="0" applyNumberFormat="1" applyFont="1" applyFill="1" applyBorder="1" applyAlignment="1">
      <alignment horizontal="center" vertical="center"/>
    </xf>
    <xf numFmtId="0" fontId="36" fillId="2" borderId="1" xfId="0" applyFont="1" applyFill="1" applyBorder="1" applyAlignment="1">
      <alignment horizontal="center" vertical="center"/>
    </xf>
    <xf numFmtId="0" fontId="36" fillId="10" borderId="1" xfId="0" applyFont="1" applyFill="1" applyBorder="1" applyAlignment="1">
      <alignment horizontal="center" vertical="center"/>
    </xf>
    <xf numFmtId="0" fontId="36" fillId="8" borderId="1" xfId="0" applyFont="1" applyFill="1" applyBorder="1" applyAlignment="1">
      <alignment horizontal="center" vertical="center"/>
    </xf>
    <xf numFmtId="0" fontId="36" fillId="6" borderId="1" xfId="0" applyFont="1" applyFill="1" applyBorder="1" applyAlignment="1">
      <alignment horizontal="center" vertical="center"/>
    </xf>
    <xf numFmtId="0" fontId="36" fillId="7" borderId="1" xfId="0" applyFont="1" applyFill="1" applyBorder="1" applyAlignment="1">
      <alignment horizontal="center" vertical="center"/>
    </xf>
    <xf numFmtId="176" fontId="36" fillId="7" borderId="1" xfId="0" applyNumberFormat="1" applyFont="1" applyFill="1" applyBorder="1" applyAlignment="1">
      <alignment horizontal="center" vertical="center"/>
    </xf>
    <xf numFmtId="0" fontId="36" fillId="9" borderId="1" xfId="0" applyFont="1" applyFill="1" applyBorder="1" applyAlignment="1">
      <alignment horizontal="center" vertical="center"/>
    </xf>
    <xf numFmtId="0" fontId="36" fillId="12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0" borderId="1" xfId="0" applyFont="1" applyBorder="1"/>
    <xf numFmtId="0" fontId="7" fillId="9" borderId="1" xfId="0" applyFont="1" applyFill="1" applyBorder="1" applyAlignment="1">
      <alignment horizontal="center" vertical="center"/>
    </xf>
    <xf numFmtId="0" fontId="7" fillId="8" borderId="1" xfId="0" applyFont="1" applyFill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 wrapText="1"/>
    </xf>
    <xf numFmtId="0" fontId="37" fillId="8" borderId="1" xfId="0" applyFont="1" applyFill="1" applyBorder="1" applyAlignment="1">
      <alignment horizontal="center" vertical="center"/>
    </xf>
    <xf numFmtId="0" fontId="37" fillId="0" borderId="1" xfId="0" applyFont="1" applyBorder="1" applyAlignment="1">
      <alignment horizontal="center" vertical="center"/>
    </xf>
    <xf numFmtId="0" fontId="38" fillId="0" borderId="1" xfId="0" applyFont="1" applyBorder="1" applyAlignment="1">
      <alignment horizontal="center" vertical="center"/>
    </xf>
    <xf numFmtId="0" fontId="39" fillId="0" borderId="1" xfId="0" applyFont="1" applyBorder="1" applyAlignment="1">
      <alignment horizontal="center" vertical="center" wrapText="1"/>
    </xf>
    <xf numFmtId="49" fontId="0" fillId="0" borderId="0" xfId="0" applyNumberFormat="1" applyAlignment="1">
      <alignment horizontal="center" vertical="center"/>
    </xf>
    <xf numFmtId="0" fontId="40" fillId="0" borderId="0" xfId="0" applyFont="1" applyAlignment="1">
      <alignment horizontal="center" vertical="center"/>
    </xf>
    <xf numFmtId="0" fontId="40" fillId="2" borderId="1" xfId="0" applyFont="1" applyFill="1" applyBorder="1" applyAlignment="1">
      <alignment horizontal="center" vertical="center"/>
    </xf>
    <xf numFmtId="0" fontId="42" fillId="0" borderId="0" xfId="0" applyFont="1" applyAlignment="1">
      <alignment horizontal="center" vertical="center"/>
    </xf>
    <xf numFmtId="0" fontId="43" fillId="0" borderId="0" xfId="0" applyFont="1" applyAlignment="1">
      <alignment horizontal="center" vertical="center"/>
    </xf>
    <xf numFmtId="0" fontId="44" fillId="0" borderId="0" xfId="0" applyFont="1" applyAlignment="1">
      <alignment horizontal="left" vertical="center"/>
    </xf>
    <xf numFmtId="0" fontId="44" fillId="0" borderId="0" xfId="0" applyFont="1"/>
    <xf numFmtId="0" fontId="45" fillId="0" borderId="0" xfId="0" applyFont="1" applyAlignment="1">
      <alignment horizontal="center" vertical="center"/>
    </xf>
    <xf numFmtId="0" fontId="45" fillId="0" borderId="1" xfId="0" applyFont="1" applyBorder="1" applyAlignment="1">
      <alignment horizontal="center" vertical="center"/>
    </xf>
    <xf numFmtId="0" fontId="45" fillId="0" borderId="0" xfId="0" applyFont="1"/>
    <xf numFmtId="0" fontId="46" fillId="0" borderId="1" xfId="0" applyFont="1" applyBorder="1" applyAlignment="1">
      <alignment horizontal="center" vertical="center"/>
    </xf>
    <xf numFmtId="0" fontId="47" fillId="0" borderId="0" xfId="0" applyFont="1"/>
    <xf numFmtId="0" fontId="46" fillId="0" borderId="0" xfId="0" applyFont="1" applyAlignment="1">
      <alignment horizontal="center" vertical="center"/>
    </xf>
    <xf numFmtId="0" fontId="46" fillId="0" borderId="33" xfId="0" applyFont="1" applyBorder="1" applyAlignment="1">
      <alignment horizontal="center" vertical="center"/>
    </xf>
    <xf numFmtId="0" fontId="46" fillId="0" borderId="34" xfId="0" applyFont="1" applyBorder="1" applyAlignment="1">
      <alignment horizontal="center" vertical="center"/>
    </xf>
    <xf numFmtId="0" fontId="46" fillId="0" borderId="30" xfId="0" applyFont="1" applyBorder="1" applyAlignment="1">
      <alignment horizontal="center" vertical="center"/>
    </xf>
    <xf numFmtId="0" fontId="46" fillId="0" borderId="27" xfId="0" applyFont="1" applyBorder="1" applyAlignment="1">
      <alignment horizontal="center" vertical="center"/>
    </xf>
    <xf numFmtId="0" fontId="46" fillId="0" borderId="36" xfId="0" applyFont="1" applyBorder="1" applyAlignment="1">
      <alignment horizontal="center" vertical="center"/>
    </xf>
    <xf numFmtId="0" fontId="46" fillId="0" borderId="33" xfId="0" applyFont="1" applyBorder="1" applyAlignment="1">
      <alignment vertical="center"/>
    </xf>
    <xf numFmtId="0" fontId="46" fillId="0" borderId="36" xfId="0" applyFont="1" applyBorder="1" applyAlignment="1">
      <alignment horizontal="center" vertical="center" wrapText="1"/>
    </xf>
    <xf numFmtId="0" fontId="47" fillId="0" borderId="0" xfId="0" applyFont="1" applyAlignment="1">
      <alignment horizontal="center" vertical="center"/>
    </xf>
    <xf numFmtId="0" fontId="50" fillId="0" borderId="0" xfId="0" applyFont="1"/>
    <xf numFmtId="0" fontId="50" fillId="0" borderId="0" xfId="0" applyFont="1" applyAlignment="1">
      <alignment horizontal="center" vertical="center"/>
    </xf>
    <xf numFmtId="0" fontId="52" fillId="0" borderId="1" xfId="0" applyFont="1" applyBorder="1" applyAlignment="1">
      <alignment horizontal="center" vertical="center"/>
    </xf>
    <xf numFmtId="0" fontId="50" fillId="0" borderId="1" xfId="0" applyFont="1" applyBorder="1" applyAlignment="1">
      <alignment horizontal="center" vertical="center"/>
    </xf>
    <xf numFmtId="0" fontId="55" fillId="0" borderId="1" xfId="0" applyFont="1" applyBorder="1" applyAlignment="1">
      <alignment horizontal="center" vertical="center"/>
    </xf>
    <xf numFmtId="0" fontId="56" fillId="0" borderId="1" xfId="0" applyFont="1" applyBorder="1" applyAlignment="1">
      <alignment horizontal="center" vertical="center"/>
    </xf>
    <xf numFmtId="0" fontId="50" fillId="0" borderId="2" xfId="0" applyFont="1" applyBorder="1" applyAlignment="1">
      <alignment horizontal="center" vertical="center"/>
    </xf>
    <xf numFmtId="0" fontId="50" fillId="0" borderId="4" xfId="0" applyFont="1" applyBorder="1" applyAlignment="1">
      <alignment horizontal="center" vertical="center"/>
    </xf>
    <xf numFmtId="0" fontId="50" fillId="0" borderId="26" xfId="0" applyFont="1" applyBorder="1" applyAlignment="1">
      <alignment horizontal="center" vertical="center"/>
    </xf>
    <xf numFmtId="0" fontId="55" fillId="0" borderId="53" xfId="0" applyFont="1" applyBorder="1" applyAlignment="1">
      <alignment horizontal="center" vertical="center"/>
    </xf>
    <xf numFmtId="0" fontId="55" fillId="2" borderId="2" xfId="0" applyFont="1" applyFill="1" applyBorder="1" applyAlignment="1">
      <alignment horizontal="center" vertical="center"/>
    </xf>
    <xf numFmtId="0" fontId="55" fillId="0" borderId="4" xfId="0" applyFont="1" applyBorder="1" applyAlignment="1">
      <alignment horizontal="center" vertical="center"/>
    </xf>
    <xf numFmtId="0" fontId="50" fillId="0" borderId="54" xfId="0" applyFont="1" applyBorder="1" applyAlignment="1">
      <alignment horizontal="center" vertical="center"/>
    </xf>
    <xf numFmtId="0" fontId="55" fillId="0" borderId="26" xfId="0" applyFont="1" applyBorder="1" applyAlignment="1">
      <alignment horizontal="center" vertical="center"/>
    </xf>
    <xf numFmtId="0" fontId="55" fillId="0" borderId="55" xfId="0" applyFont="1" applyBorder="1" applyAlignment="1">
      <alignment horizontal="center" vertical="center"/>
    </xf>
    <xf numFmtId="0" fontId="57" fillId="0" borderId="56" xfId="0" applyFont="1" applyBorder="1" applyAlignment="1">
      <alignment horizontal="center" vertical="center"/>
    </xf>
    <xf numFmtId="0" fontId="57" fillId="0" borderId="57" xfId="0" applyFont="1" applyBorder="1" applyAlignment="1">
      <alignment horizontal="center" vertical="center"/>
    </xf>
    <xf numFmtId="0" fontId="50" fillId="0" borderId="53" xfId="0" applyFont="1" applyBorder="1" applyAlignment="1">
      <alignment horizontal="center" vertical="center"/>
    </xf>
    <xf numFmtId="0" fontId="51" fillId="0" borderId="4" xfId="0" applyFont="1" applyBorder="1" applyAlignment="1">
      <alignment horizontal="center" vertical="center"/>
    </xf>
    <xf numFmtId="0" fontId="57" fillId="2" borderId="56" xfId="0" applyFont="1" applyFill="1" applyBorder="1" applyAlignment="1">
      <alignment horizontal="center" vertical="center"/>
    </xf>
    <xf numFmtId="0" fontId="57" fillId="2" borderId="58" xfId="0" applyFont="1" applyFill="1" applyBorder="1" applyAlignment="1">
      <alignment horizontal="center" vertical="center"/>
    </xf>
    <xf numFmtId="0" fontId="57" fillId="2" borderId="2" xfId="0" applyFont="1" applyFill="1" applyBorder="1" applyAlignment="1">
      <alignment horizontal="center" vertical="center"/>
    </xf>
    <xf numFmtId="0" fontId="57" fillId="2" borderId="55" xfId="0" applyFont="1" applyFill="1" applyBorder="1" applyAlignment="1">
      <alignment horizontal="center" vertical="center"/>
    </xf>
    <xf numFmtId="0" fontId="57" fillId="0" borderId="60" xfId="0" applyFont="1" applyBorder="1" applyAlignment="1">
      <alignment horizontal="center" vertical="center"/>
    </xf>
    <xf numFmtId="0" fontId="50" fillId="0" borderId="59" xfId="0" applyFont="1" applyBorder="1"/>
    <xf numFmtId="0" fontId="50" fillId="0" borderId="61" xfId="0" applyFont="1" applyBorder="1" applyAlignment="1">
      <alignment horizontal="center" vertical="center"/>
    </xf>
    <xf numFmtId="0" fontId="50" fillId="0" borderId="62" xfId="0" applyFont="1" applyBorder="1"/>
    <xf numFmtId="0" fontId="58" fillId="0" borderId="64" xfId="0" applyFont="1" applyBorder="1" applyAlignment="1">
      <alignment horizontal="center" vertical="center"/>
    </xf>
    <xf numFmtId="0" fontId="50" fillId="0" borderId="63" xfId="0" applyFont="1" applyBorder="1"/>
    <xf numFmtId="0" fontId="7" fillId="0" borderId="2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36" fillId="0" borderId="26" xfId="0" applyFont="1" applyBorder="1" applyAlignment="1">
      <alignment horizontal="center" vertical="center"/>
    </xf>
    <xf numFmtId="0" fontId="59" fillId="0" borderId="9" xfId="0" applyFont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36" fillId="11" borderId="26" xfId="0" applyFont="1" applyFill="1" applyBorder="1" applyAlignment="1">
      <alignment horizontal="center" vertical="center"/>
    </xf>
    <xf numFmtId="0" fontId="36" fillId="2" borderId="26" xfId="0" applyFont="1" applyFill="1" applyBorder="1" applyAlignment="1">
      <alignment horizontal="center" vertical="center"/>
    </xf>
    <xf numFmtId="0" fontId="36" fillId="10" borderId="26" xfId="0" applyFont="1" applyFill="1" applyBorder="1" applyAlignment="1">
      <alignment horizontal="center" vertical="center"/>
    </xf>
    <xf numFmtId="0" fontId="36" fillId="8" borderId="26" xfId="0" applyFont="1" applyFill="1" applyBorder="1" applyAlignment="1">
      <alignment horizontal="center" vertical="center"/>
    </xf>
    <xf numFmtId="0" fontId="36" fillId="6" borderId="26" xfId="0" applyFont="1" applyFill="1" applyBorder="1" applyAlignment="1">
      <alignment horizontal="center" vertical="center"/>
    </xf>
    <xf numFmtId="0" fontId="36" fillId="7" borderId="26" xfId="0" applyFont="1" applyFill="1" applyBorder="1" applyAlignment="1">
      <alignment horizontal="center" vertical="center"/>
    </xf>
    <xf numFmtId="0" fontId="36" fillId="9" borderId="26" xfId="0" applyFont="1" applyFill="1" applyBorder="1" applyAlignment="1">
      <alignment horizontal="center" vertical="center"/>
    </xf>
    <xf numFmtId="0" fontId="36" fillId="12" borderId="26" xfId="0" applyFont="1" applyFill="1" applyBorder="1" applyAlignment="1">
      <alignment horizontal="center" vertical="center"/>
    </xf>
    <xf numFmtId="0" fontId="36" fillId="0" borderId="66" xfId="0" applyFont="1" applyBorder="1" applyAlignment="1">
      <alignment horizontal="center" vertical="center"/>
    </xf>
    <xf numFmtId="0" fontId="36" fillId="0" borderId="67" xfId="0" applyFont="1" applyBorder="1" applyAlignment="1">
      <alignment horizontal="center" vertical="center"/>
    </xf>
    <xf numFmtId="0" fontId="36" fillId="11" borderId="66" xfId="0" applyFont="1" applyFill="1" applyBorder="1" applyAlignment="1">
      <alignment horizontal="center" vertical="center"/>
    </xf>
    <xf numFmtId="0" fontId="36" fillId="11" borderId="67" xfId="0" applyFont="1" applyFill="1" applyBorder="1" applyAlignment="1">
      <alignment horizontal="center" vertical="center"/>
    </xf>
    <xf numFmtId="0" fontId="36" fillId="2" borderId="66" xfId="0" applyFont="1" applyFill="1" applyBorder="1" applyAlignment="1">
      <alignment horizontal="center" vertical="center"/>
    </xf>
    <xf numFmtId="0" fontId="36" fillId="2" borderId="67" xfId="0" applyFont="1" applyFill="1" applyBorder="1" applyAlignment="1">
      <alignment horizontal="center" vertical="center"/>
    </xf>
    <xf numFmtId="0" fontId="36" fillId="10" borderId="66" xfId="0" applyFont="1" applyFill="1" applyBorder="1" applyAlignment="1">
      <alignment horizontal="center" vertical="center"/>
    </xf>
    <xf numFmtId="0" fontId="36" fillId="10" borderId="67" xfId="0" applyFont="1" applyFill="1" applyBorder="1" applyAlignment="1">
      <alignment horizontal="center" vertical="center"/>
    </xf>
    <xf numFmtId="0" fontId="36" fillId="8" borderId="66" xfId="0" applyFont="1" applyFill="1" applyBorder="1" applyAlignment="1">
      <alignment horizontal="center" vertical="center"/>
    </xf>
    <xf numFmtId="0" fontId="36" fillId="8" borderId="67" xfId="0" applyFont="1" applyFill="1" applyBorder="1" applyAlignment="1">
      <alignment horizontal="center" vertical="center"/>
    </xf>
    <xf numFmtId="0" fontId="36" fillId="6" borderId="66" xfId="0" applyFont="1" applyFill="1" applyBorder="1" applyAlignment="1">
      <alignment horizontal="center" vertical="center"/>
    </xf>
    <xf numFmtId="0" fontId="36" fillId="6" borderId="67" xfId="0" applyFont="1" applyFill="1" applyBorder="1" applyAlignment="1">
      <alignment horizontal="center" vertical="center"/>
    </xf>
    <xf numFmtId="0" fontId="41" fillId="2" borderId="67" xfId="0" applyFont="1" applyFill="1" applyBorder="1" applyAlignment="1">
      <alignment horizontal="center" vertical="center"/>
    </xf>
    <xf numFmtId="0" fontId="36" fillId="7" borderId="66" xfId="0" applyFont="1" applyFill="1" applyBorder="1" applyAlignment="1">
      <alignment horizontal="center" vertical="center"/>
    </xf>
    <xf numFmtId="0" fontId="36" fillId="7" borderId="67" xfId="0" applyFont="1" applyFill="1" applyBorder="1" applyAlignment="1">
      <alignment horizontal="center" vertical="center"/>
    </xf>
    <xf numFmtId="0" fontId="36" fillId="9" borderId="66" xfId="0" applyFont="1" applyFill="1" applyBorder="1" applyAlignment="1">
      <alignment horizontal="center" vertical="center"/>
    </xf>
    <xf numFmtId="0" fontId="36" fillId="9" borderId="67" xfId="0" applyFont="1" applyFill="1" applyBorder="1" applyAlignment="1">
      <alignment horizontal="center" vertical="center"/>
    </xf>
    <xf numFmtId="0" fontId="36" fillId="12" borderId="66" xfId="0" applyFont="1" applyFill="1" applyBorder="1" applyAlignment="1">
      <alignment horizontal="center" vertical="center"/>
    </xf>
    <xf numFmtId="0" fontId="36" fillId="12" borderId="67" xfId="0" applyFont="1" applyFill="1" applyBorder="1" applyAlignment="1">
      <alignment horizontal="center" vertical="center"/>
    </xf>
    <xf numFmtId="0" fontId="60" fillId="2" borderId="67" xfId="0" applyFont="1" applyFill="1" applyBorder="1" applyAlignment="1">
      <alignment horizontal="center" vertical="center"/>
    </xf>
    <xf numFmtId="0" fontId="60" fillId="2" borderId="1" xfId="0" applyFont="1" applyFill="1" applyBorder="1" applyAlignment="1">
      <alignment horizontal="center" vertical="center"/>
    </xf>
    <xf numFmtId="0" fontId="61" fillId="6" borderId="1" xfId="0" applyFont="1" applyFill="1" applyBorder="1" applyAlignment="1">
      <alignment horizontal="center" vertical="center"/>
    </xf>
    <xf numFmtId="0" fontId="61" fillId="6" borderId="67" xfId="0" applyFont="1" applyFill="1" applyBorder="1" applyAlignment="1">
      <alignment horizontal="center" vertical="center"/>
    </xf>
    <xf numFmtId="0" fontId="61" fillId="2" borderId="1" xfId="0" applyFont="1" applyFill="1" applyBorder="1" applyAlignment="1">
      <alignment horizontal="center" vertical="center"/>
    </xf>
    <xf numFmtId="0" fontId="61" fillId="2" borderId="67" xfId="0" applyFont="1" applyFill="1" applyBorder="1" applyAlignment="1">
      <alignment horizontal="center" vertical="center"/>
    </xf>
    <xf numFmtId="0" fontId="51" fillId="0" borderId="1" xfId="0" applyFont="1" applyBorder="1" applyAlignment="1">
      <alignment horizontal="center" vertical="center"/>
    </xf>
    <xf numFmtId="0" fontId="36" fillId="9" borderId="2" xfId="0" applyFont="1" applyFill="1" applyBorder="1" applyAlignment="1">
      <alignment horizontal="center" vertical="center"/>
    </xf>
    <xf numFmtId="0" fontId="36" fillId="9" borderId="19" xfId="0" applyFont="1" applyFill="1" applyBorder="1" applyAlignment="1">
      <alignment horizontal="center" vertical="center"/>
    </xf>
    <xf numFmtId="0" fontId="36" fillId="9" borderId="69" xfId="0" applyFont="1" applyFill="1" applyBorder="1" applyAlignment="1">
      <alignment horizontal="center" vertical="center"/>
    </xf>
    <xf numFmtId="0" fontId="36" fillId="9" borderId="70" xfId="0" applyFont="1" applyFill="1" applyBorder="1" applyAlignment="1">
      <alignment horizontal="center" vertical="center"/>
    </xf>
    <xf numFmtId="0" fontId="36" fillId="2" borderId="68" xfId="0" applyFont="1" applyFill="1" applyBorder="1" applyAlignment="1">
      <alignment horizontal="center" vertical="center"/>
    </xf>
    <xf numFmtId="0" fontId="36" fillId="2" borderId="27" xfId="0" applyFont="1" applyFill="1" applyBorder="1" applyAlignment="1">
      <alignment horizontal="center" vertical="center"/>
    </xf>
    <xf numFmtId="0" fontId="36" fillId="2" borderId="28" xfId="0" applyFont="1" applyFill="1" applyBorder="1" applyAlignment="1">
      <alignment horizontal="center" vertical="center"/>
    </xf>
    <xf numFmtId="0" fontId="63" fillId="2" borderId="1" xfId="0" applyFont="1" applyFill="1" applyBorder="1" applyAlignment="1">
      <alignment horizontal="center" vertical="center"/>
    </xf>
    <xf numFmtId="0" fontId="46" fillId="2" borderId="30" xfId="0" applyFont="1" applyFill="1" applyBorder="1" applyAlignment="1" applyProtection="1">
      <alignment horizontal="center" vertical="center"/>
      <protection locked="0"/>
    </xf>
    <xf numFmtId="0" fontId="46" fillId="2" borderId="27" xfId="0" applyFont="1" applyFill="1" applyBorder="1" applyAlignment="1" applyProtection="1">
      <alignment horizontal="center" vertical="center"/>
      <protection locked="0"/>
    </xf>
    <xf numFmtId="0" fontId="46" fillId="2" borderId="33" xfId="0" applyFont="1" applyFill="1" applyBorder="1" applyAlignment="1" applyProtection="1">
      <alignment horizontal="center" vertical="center"/>
      <protection locked="0"/>
    </xf>
    <xf numFmtId="0" fontId="46" fillId="2" borderId="31" xfId="0" applyFont="1" applyFill="1" applyBorder="1" applyAlignment="1" applyProtection="1">
      <alignment horizontal="center" vertical="center"/>
      <protection locked="0"/>
    </xf>
    <xf numFmtId="0" fontId="46" fillId="2" borderId="28" xfId="0" applyFont="1" applyFill="1" applyBorder="1" applyAlignment="1" applyProtection="1">
      <alignment horizontal="center" vertical="center"/>
      <protection locked="0"/>
    </xf>
    <xf numFmtId="0" fontId="7" fillId="0" borderId="0" xfId="0" applyFont="1" applyProtection="1">
      <protection locked="0"/>
    </xf>
    <xf numFmtId="0" fontId="47" fillId="0" borderId="0" xfId="0" applyFont="1" applyProtection="1">
      <protection locked="0"/>
    </xf>
    <xf numFmtId="0" fontId="27" fillId="0" borderId="0" xfId="0" applyFont="1" applyAlignment="1" applyProtection="1">
      <alignment horizontal="center" vertical="center"/>
      <protection locked="0"/>
    </xf>
    <xf numFmtId="0" fontId="67" fillId="0" borderId="1" xfId="0" applyFont="1" applyBorder="1" applyAlignment="1">
      <alignment horizontal="center" vertical="center"/>
    </xf>
    <xf numFmtId="0" fontId="50" fillId="2" borderId="26" xfId="0" applyFont="1" applyFill="1" applyBorder="1" applyAlignment="1">
      <alignment horizontal="center" vertical="center"/>
    </xf>
    <xf numFmtId="0" fontId="57" fillId="0" borderId="71" xfId="0" applyFont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5" fillId="0" borderId="72" xfId="0" applyFont="1" applyBorder="1" applyAlignment="1">
      <alignment horizontal="center" vertical="center"/>
    </xf>
    <xf numFmtId="0" fontId="5" fillId="0" borderId="1" xfId="0" applyFont="1" applyBorder="1" applyAlignment="1">
      <alignment vertical="center"/>
    </xf>
    <xf numFmtId="0" fontId="68" fillId="0" borderId="1" xfId="0" applyFont="1" applyBorder="1" applyAlignment="1">
      <alignment horizontal="center" vertical="center"/>
    </xf>
    <xf numFmtId="0" fontId="71" fillId="0" borderId="1" xfId="0" applyFont="1" applyBorder="1" applyAlignment="1">
      <alignment horizontal="center" vertical="center"/>
    </xf>
    <xf numFmtId="0" fontId="72" fillId="0" borderId="0" xfId="0" applyFont="1" applyAlignment="1">
      <alignment horizontal="center" vertical="center"/>
    </xf>
    <xf numFmtId="0" fontId="27" fillId="0" borderId="83" xfId="0" applyFont="1" applyBorder="1" applyAlignment="1">
      <alignment horizontal="center" vertical="center"/>
    </xf>
    <xf numFmtId="0" fontId="27" fillId="0" borderId="84" xfId="0" applyFont="1" applyBorder="1" applyAlignment="1">
      <alignment horizontal="center" vertical="center"/>
    </xf>
    <xf numFmtId="0" fontId="27" fillId="2" borderId="86" xfId="0" applyFont="1" applyFill="1" applyBorder="1" applyAlignment="1" applyProtection="1">
      <alignment horizontal="center" vertical="center"/>
      <protection locked="0"/>
    </xf>
    <xf numFmtId="0" fontId="27" fillId="0" borderId="88" xfId="0" applyFont="1" applyBorder="1" applyAlignment="1">
      <alignment horizontal="center" vertical="center"/>
    </xf>
    <xf numFmtId="0" fontId="27" fillId="2" borderId="84" xfId="0" applyFont="1" applyFill="1" applyBorder="1" applyAlignment="1" applyProtection="1">
      <alignment horizontal="center" vertical="center"/>
      <protection locked="0"/>
    </xf>
    <xf numFmtId="0" fontId="27" fillId="0" borderId="89" xfId="0" applyFont="1" applyBorder="1" applyAlignment="1">
      <alignment horizontal="center" vertical="center"/>
    </xf>
    <xf numFmtId="0" fontId="28" fillId="0" borderId="90" xfId="0" applyFont="1" applyBorder="1" applyAlignment="1">
      <alignment horizontal="center" vertical="center"/>
    </xf>
    <xf numFmtId="0" fontId="27" fillId="2" borderId="91" xfId="0" applyFont="1" applyFill="1" applyBorder="1" applyAlignment="1" applyProtection="1">
      <alignment horizontal="center" vertical="center"/>
      <protection locked="0"/>
    </xf>
    <xf numFmtId="0" fontId="27" fillId="0" borderId="31" xfId="0" applyFont="1" applyBorder="1" applyAlignment="1">
      <alignment horizontal="center" vertical="center"/>
    </xf>
    <xf numFmtId="0" fontId="27" fillId="0" borderId="28" xfId="0" applyFont="1" applyBorder="1" applyAlignment="1">
      <alignment horizontal="center" vertical="center"/>
    </xf>
    <xf numFmtId="0" fontId="74" fillId="2" borderId="33" xfId="0" applyFont="1" applyFill="1" applyBorder="1" applyAlignment="1" applyProtection="1">
      <alignment horizontal="center" vertical="center"/>
      <protection locked="0"/>
    </xf>
    <xf numFmtId="0" fontId="75" fillId="0" borderId="0" xfId="0" applyFont="1" applyAlignment="1">
      <alignment horizontal="center" vertical="center"/>
    </xf>
    <xf numFmtId="0" fontId="76" fillId="0" borderId="0" xfId="0" applyFont="1"/>
    <xf numFmtId="0" fontId="75" fillId="0" borderId="1" xfId="0" applyFont="1" applyBorder="1" applyAlignment="1">
      <alignment horizontal="center" vertical="center"/>
    </xf>
    <xf numFmtId="0" fontId="76" fillId="0" borderId="1" xfId="0" applyFont="1" applyBorder="1" applyAlignment="1">
      <alignment horizontal="center" vertical="center"/>
    </xf>
    <xf numFmtId="0" fontId="76" fillId="7" borderId="1" xfId="0" applyFont="1" applyFill="1" applyBorder="1" applyAlignment="1">
      <alignment horizontal="center" vertical="center"/>
    </xf>
    <xf numFmtId="0" fontId="77" fillId="0" borderId="1" xfId="0" applyFont="1" applyBorder="1" applyAlignment="1">
      <alignment horizontal="center" vertical="center"/>
    </xf>
    <xf numFmtId="0" fontId="77" fillId="0" borderId="30" xfId="0" applyFont="1" applyBorder="1" applyAlignment="1">
      <alignment horizontal="center" vertical="center"/>
    </xf>
    <xf numFmtId="0" fontId="78" fillId="0" borderId="31" xfId="0" applyFont="1" applyBorder="1"/>
    <xf numFmtId="0" fontId="78" fillId="0" borderId="67" xfId="0" applyFont="1" applyBorder="1"/>
    <xf numFmtId="0" fontId="79" fillId="0" borderId="67" xfId="0" applyFont="1" applyBorder="1"/>
    <xf numFmtId="0" fontId="77" fillId="0" borderId="27" xfId="0" applyFont="1" applyBorder="1" applyAlignment="1">
      <alignment horizontal="center" vertical="center"/>
    </xf>
    <xf numFmtId="0" fontId="79" fillId="0" borderId="28" xfId="0" applyFont="1" applyBorder="1"/>
    <xf numFmtId="0" fontId="47" fillId="0" borderId="92" xfId="0" applyFont="1" applyBorder="1" applyAlignment="1">
      <alignment horizontal="center" vertical="center"/>
    </xf>
    <xf numFmtId="0" fontId="47" fillId="0" borderId="93" xfId="0" applyFont="1" applyBorder="1" applyAlignment="1">
      <alignment horizontal="center" vertical="center"/>
    </xf>
    <xf numFmtId="0" fontId="79" fillId="0" borderId="94" xfId="0" applyFont="1" applyBorder="1" applyAlignment="1">
      <alignment horizontal="center" vertical="center"/>
    </xf>
    <xf numFmtId="0" fontId="27" fillId="0" borderId="30" xfId="0" applyFont="1" applyBorder="1" applyAlignment="1">
      <alignment horizontal="center" vertical="center"/>
    </xf>
    <xf numFmtId="0" fontId="27" fillId="2" borderId="31" xfId="0" applyFont="1" applyFill="1" applyBorder="1" applyAlignment="1" applyProtection="1">
      <alignment horizontal="center" vertical="center"/>
      <protection locked="0"/>
    </xf>
    <xf numFmtId="0" fontId="27" fillId="2" borderId="67" xfId="0" applyFont="1" applyFill="1" applyBorder="1" applyAlignment="1" applyProtection="1">
      <alignment horizontal="center" vertical="center"/>
      <protection locked="0"/>
    </xf>
    <xf numFmtId="0" fontId="27" fillId="4" borderId="67" xfId="0" applyFont="1" applyFill="1" applyBorder="1" applyAlignment="1">
      <alignment horizontal="center" vertical="center"/>
    </xf>
    <xf numFmtId="0" fontId="39" fillId="0" borderId="27" xfId="0" applyFont="1" applyBorder="1" applyAlignment="1">
      <alignment horizontal="center" vertical="center"/>
    </xf>
    <xf numFmtId="0" fontId="27" fillId="2" borderId="28" xfId="0" applyFont="1" applyFill="1" applyBorder="1" applyAlignment="1" applyProtection="1">
      <alignment horizontal="center" vertical="center"/>
      <protection locked="0"/>
    </xf>
    <xf numFmtId="0" fontId="27" fillId="0" borderId="27" xfId="0" applyFont="1" applyBorder="1" applyAlignment="1">
      <alignment horizontal="center" vertical="center"/>
    </xf>
    <xf numFmtId="0" fontId="47" fillId="0" borderId="95" xfId="0" applyFont="1" applyBorder="1" applyAlignment="1">
      <alignment horizontal="center" vertical="center"/>
    </xf>
    <xf numFmtId="0" fontId="47" fillId="0" borderId="31" xfId="0" applyFont="1" applyBorder="1" applyAlignment="1">
      <alignment horizontal="center"/>
    </xf>
    <xf numFmtId="0" fontId="47" fillId="0" borderId="67" xfId="0" applyFont="1" applyBorder="1" applyAlignment="1">
      <alignment horizontal="center"/>
    </xf>
    <xf numFmtId="0" fontId="47" fillId="0" borderId="28" xfId="0" applyFont="1" applyBorder="1" applyAlignment="1">
      <alignment horizontal="center" vertical="center"/>
    </xf>
    <xf numFmtId="0" fontId="81" fillId="2" borderId="67" xfId="0" applyFont="1" applyFill="1" applyBorder="1" applyAlignment="1">
      <alignment horizontal="center" vertical="center"/>
    </xf>
    <xf numFmtId="0" fontId="81" fillId="2" borderId="28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center" vertical="center" wrapText="1"/>
    </xf>
    <xf numFmtId="0" fontId="71" fillId="0" borderId="35" xfId="0" applyFont="1" applyBorder="1" applyAlignment="1">
      <alignment horizontal="center" vertical="center"/>
    </xf>
    <xf numFmtId="0" fontId="71" fillId="0" borderId="53" xfId="0" applyFont="1" applyBorder="1" applyAlignment="1">
      <alignment horizontal="center" vertical="center"/>
    </xf>
    <xf numFmtId="0" fontId="82" fillId="0" borderId="97" xfId="0" applyFont="1" applyBorder="1" applyAlignment="1">
      <alignment horizontal="center" vertical="center"/>
    </xf>
    <xf numFmtId="0" fontId="82" fillId="0" borderId="26" xfId="0" applyFont="1" applyBorder="1" applyAlignment="1">
      <alignment horizontal="center" vertical="center"/>
    </xf>
    <xf numFmtId="0" fontId="82" fillId="0" borderId="96" xfId="0" applyFont="1" applyBorder="1" applyAlignment="1">
      <alignment horizontal="center" vertical="center"/>
    </xf>
    <xf numFmtId="0" fontId="69" fillId="0" borderId="0" xfId="0" applyFont="1" applyAlignment="1">
      <alignment vertical="center"/>
    </xf>
    <xf numFmtId="0" fontId="72" fillId="0" borderId="0" xfId="0" applyFont="1" applyAlignment="1">
      <alignment vertical="center"/>
    </xf>
    <xf numFmtId="0" fontId="71" fillId="0" borderId="29" xfId="0" applyFont="1" applyBorder="1" applyAlignment="1">
      <alignment horizontal="center" vertical="center"/>
    </xf>
    <xf numFmtId="0" fontId="83" fillId="0" borderId="1" xfId="0" applyFont="1" applyBorder="1" applyAlignment="1">
      <alignment horizontal="center" vertical="center"/>
    </xf>
    <xf numFmtId="0" fontId="84" fillId="2" borderId="1" xfId="0" applyFont="1" applyFill="1" applyBorder="1" applyAlignment="1">
      <alignment horizontal="center" vertical="center"/>
    </xf>
    <xf numFmtId="0" fontId="84" fillId="2" borderId="27" xfId="0" applyFont="1" applyFill="1" applyBorder="1" applyAlignment="1">
      <alignment horizontal="center" vertical="center"/>
    </xf>
    <xf numFmtId="0" fontId="85" fillId="0" borderId="0" xfId="0" applyFont="1" applyAlignment="1">
      <alignment horizontal="center" vertical="center"/>
    </xf>
    <xf numFmtId="177" fontId="85" fillId="0" borderId="0" xfId="0" applyNumberFormat="1" applyFont="1" applyAlignment="1">
      <alignment horizontal="center" vertical="center"/>
    </xf>
    <xf numFmtId="0" fontId="86" fillId="0" borderId="0" xfId="0" applyFont="1" applyAlignment="1">
      <alignment horizontal="center" vertical="center"/>
    </xf>
    <xf numFmtId="0" fontId="85" fillId="0" borderId="0" xfId="0" applyFont="1" applyAlignment="1">
      <alignment horizontal="center" vertical="center" wrapText="1"/>
    </xf>
    <xf numFmtId="0" fontId="87" fillId="0" borderId="0" xfId="0" applyFont="1" applyAlignment="1">
      <alignment horizontal="center" vertical="center"/>
    </xf>
    <xf numFmtId="0" fontId="45" fillId="0" borderId="0" xfId="0" applyFont="1" applyProtection="1">
      <protection locked="0"/>
    </xf>
    <xf numFmtId="0" fontId="87" fillId="0" borderId="13" xfId="0" applyFont="1" applyBorder="1" applyAlignment="1">
      <alignment horizontal="center" vertical="center"/>
    </xf>
    <xf numFmtId="0" fontId="27" fillId="0" borderId="0" xfId="0" applyFont="1" applyAlignment="1">
      <alignment vertical="center"/>
    </xf>
    <xf numFmtId="0" fontId="88" fillId="0" borderId="1" xfId="0" applyFont="1" applyBorder="1" applyAlignment="1">
      <alignment horizontal="center" vertical="center"/>
    </xf>
    <xf numFmtId="0" fontId="88" fillId="0" borderId="0" xfId="0" applyFont="1" applyAlignment="1">
      <alignment horizontal="center" vertical="center"/>
    </xf>
    <xf numFmtId="0" fontId="89" fillId="0" borderId="0" xfId="0" applyFont="1" applyAlignment="1">
      <alignment horizontal="center" vertical="center"/>
    </xf>
    <xf numFmtId="177" fontId="88" fillId="0" borderId="1" xfId="0" applyNumberFormat="1" applyFont="1" applyBorder="1" applyAlignment="1">
      <alignment horizontal="center" vertical="center"/>
    </xf>
    <xf numFmtId="1" fontId="88" fillId="0" borderId="1" xfId="0" applyNumberFormat="1" applyFont="1" applyBorder="1" applyAlignment="1">
      <alignment horizontal="center" vertical="center"/>
    </xf>
    <xf numFmtId="0" fontId="88" fillId="0" borderId="1" xfId="0" applyFont="1" applyBorder="1" applyAlignment="1" applyProtection="1">
      <alignment horizontal="center" vertical="center"/>
      <protection locked="0"/>
    </xf>
    <xf numFmtId="0" fontId="90" fillId="0" borderId="1" xfId="0" applyFont="1" applyBorder="1" applyAlignment="1">
      <alignment horizontal="center" vertical="center"/>
    </xf>
    <xf numFmtId="0" fontId="92" fillId="0" borderId="1" xfId="0" applyFont="1" applyBorder="1" applyAlignment="1">
      <alignment horizontal="center" vertical="center"/>
    </xf>
    <xf numFmtId="176" fontId="90" fillId="0" borderId="1" xfId="0" applyNumberFormat="1" applyFont="1" applyBorder="1" applyAlignment="1">
      <alignment horizontal="center" vertical="center"/>
    </xf>
    <xf numFmtId="0" fontId="88" fillId="0" borderId="30" xfId="0" applyFont="1" applyBorder="1" applyAlignment="1">
      <alignment horizontal="center" vertical="center"/>
    </xf>
    <xf numFmtId="0" fontId="91" fillId="0" borderId="30" xfId="0" applyFont="1" applyBorder="1" applyAlignment="1">
      <alignment horizontal="center" vertical="center"/>
    </xf>
    <xf numFmtId="0" fontId="91" fillId="0" borderId="31" xfId="0" applyFont="1" applyBorder="1" applyAlignment="1">
      <alignment horizontal="center" vertical="center"/>
    </xf>
    <xf numFmtId="0" fontId="92" fillId="0" borderId="67" xfId="0" applyFont="1" applyBorder="1" applyAlignment="1">
      <alignment horizontal="center" vertical="center"/>
    </xf>
    <xf numFmtId="0" fontId="90" fillId="0" borderId="67" xfId="0" applyFont="1" applyBorder="1" applyAlignment="1">
      <alignment horizontal="center" vertical="center"/>
    </xf>
    <xf numFmtId="177" fontId="88" fillId="0" borderId="67" xfId="0" applyNumberFormat="1" applyFont="1" applyBorder="1" applyAlignment="1">
      <alignment horizontal="center" vertical="center"/>
    </xf>
    <xf numFmtId="0" fontId="88" fillId="0" borderId="27" xfId="0" applyFont="1" applyBorder="1" applyAlignment="1">
      <alignment horizontal="center" vertical="center"/>
    </xf>
    <xf numFmtId="1" fontId="88" fillId="0" borderId="27" xfId="0" applyNumberFormat="1" applyFont="1" applyBorder="1" applyAlignment="1">
      <alignment horizontal="center" vertical="center"/>
    </xf>
    <xf numFmtId="177" fontId="88" fillId="0" borderId="28" xfId="0" applyNumberFormat="1" applyFont="1" applyBorder="1" applyAlignment="1">
      <alignment horizontal="center" vertical="center"/>
    </xf>
    <xf numFmtId="0" fontId="88" fillId="7" borderId="1" xfId="0" applyFont="1" applyFill="1" applyBorder="1" applyAlignment="1" applyProtection="1">
      <alignment horizontal="center" vertical="center"/>
      <protection locked="0"/>
    </xf>
    <xf numFmtId="0" fontId="88" fillId="0" borderId="1" xfId="0" applyFont="1" applyBorder="1"/>
    <xf numFmtId="0" fontId="92" fillId="0" borderId="74" xfId="0" applyFont="1" applyBorder="1" applyAlignment="1">
      <alignment horizontal="center" vertical="center"/>
    </xf>
    <xf numFmtId="0" fontId="88" fillId="2" borderId="74" xfId="0" applyFont="1" applyFill="1" applyBorder="1" applyAlignment="1" applyProtection="1">
      <alignment horizontal="center" vertical="center"/>
      <protection locked="0"/>
    </xf>
    <xf numFmtId="0" fontId="88" fillId="2" borderId="75" xfId="0" applyFont="1" applyFill="1" applyBorder="1" applyAlignment="1" applyProtection="1">
      <alignment horizontal="center" vertical="center"/>
      <protection locked="0"/>
    </xf>
    <xf numFmtId="0" fontId="88" fillId="2" borderId="1" xfId="0" applyFont="1" applyFill="1" applyBorder="1" applyAlignment="1" applyProtection="1">
      <alignment horizontal="center" vertical="center"/>
      <protection locked="0"/>
    </xf>
    <xf numFmtId="0" fontId="88" fillId="2" borderId="77" xfId="0" applyFont="1" applyFill="1" applyBorder="1" applyAlignment="1" applyProtection="1">
      <alignment horizontal="center" vertical="center"/>
      <protection locked="0"/>
    </xf>
    <xf numFmtId="0" fontId="89" fillId="0" borderId="1" xfId="0" applyFont="1" applyBorder="1" applyAlignment="1">
      <alignment horizontal="center" vertical="center"/>
    </xf>
    <xf numFmtId="0" fontId="88" fillId="0" borderId="77" xfId="0" applyFont="1" applyBorder="1" applyAlignment="1">
      <alignment horizontal="center" vertical="center"/>
    </xf>
    <xf numFmtId="0" fontId="92" fillId="0" borderId="80" xfId="0" applyFont="1" applyBorder="1" applyAlignment="1">
      <alignment horizontal="center" vertical="center"/>
    </xf>
    <xf numFmtId="0" fontId="88" fillId="2" borderId="80" xfId="0" applyFont="1" applyFill="1" applyBorder="1" applyAlignment="1" applyProtection="1">
      <alignment horizontal="center" vertical="center"/>
      <protection locked="0"/>
    </xf>
    <xf numFmtId="0" fontId="88" fillId="2" borderId="81" xfId="0" applyFont="1" applyFill="1" applyBorder="1" applyAlignment="1" applyProtection="1">
      <alignment horizontal="center" vertical="center"/>
      <protection locked="0"/>
    </xf>
    <xf numFmtId="0" fontId="88" fillId="2" borderId="1" xfId="0" applyFont="1" applyFill="1" applyBorder="1" applyAlignment="1">
      <alignment horizontal="center" vertical="center"/>
    </xf>
    <xf numFmtId="0" fontId="88" fillId="2" borderId="77" xfId="0" applyFont="1" applyFill="1" applyBorder="1" applyAlignment="1">
      <alignment horizontal="center" vertical="center"/>
    </xf>
    <xf numFmtId="0" fontId="88" fillId="0" borderId="78" xfId="0" applyFont="1" applyBorder="1" applyAlignment="1">
      <alignment horizontal="center" vertical="center"/>
    </xf>
    <xf numFmtId="0" fontId="88" fillId="2" borderId="1" xfId="0" applyFont="1" applyFill="1" applyBorder="1" applyProtection="1">
      <protection locked="0"/>
    </xf>
    <xf numFmtId="0" fontId="88" fillId="7" borderId="1" xfId="0" applyFont="1" applyFill="1" applyBorder="1" applyAlignment="1">
      <alignment horizontal="center" vertical="center"/>
    </xf>
    <xf numFmtId="0" fontId="88" fillId="6" borderId="1" xfId="0" applyFont="1" applyFill="1" applyBorder="1" applyAlignment="1">
      <alignment horizontal="center" vertical="center"/>
    </xf>
    <xf numFmtId="0" fontId="88" fillId="9" borderId="1" xfId="0" applyFont="1" applyFill="1" applyBorder="1" applyAlignment="1">
      <alignment horizontal="center" vertical="center"/>
    </xf>
    <xf numFmtId="0" fontId="88" fillId="14" borderId="1" xfId="0" applyFont="1" applyFill="1" applyBorder="1" applyAlignment="1">
      <alignment horizontal="center" vertical="center"/>
    </xf>
    <xf numFmtId="0" fontId="93" fillId="5" borderId="1" xfId="0" applyFont="1" applyFill="1" applyBorder="1" applyAlignment="1">
      <alignment horizontal="center" vertical="center"/>
    </xf>
    <xf numFmtId="0" fontId="93" fillId="5" borderId="53" xfId="0" applyFont="1" applyFill="1" applyBorder="1" applyAlignment="1">
      <alignment horizontal="center" vertical="center"/>
    </xf>
    <xf numFmtId="0" fontId="88" fillId="18" borderId="1" xfId="0" applyFont="1" applyFill="1" applyBorder="1" applyAlignment="1">
      <alignment horizontal="center" vertical="center"/>
    </xf>
    <xf numFmtId="0" fontId="88" fillId="17" borderId="1" xfId="0" applyFont="1" applyFill="1" applyBorder="1" applyAlignment="1">
      <alignment horizontal="center" vertical="center"/>
    </xf>
    <xf numFmtId="0" fontId="88" fillId="8" borderId="1" xfId="0" applyFont="1" applyFill="1" applyBorder="1" applyAlignment="1">
      <alignment horizontal="center" vertical="center"/>
    </xf>
    <xf numFmtId="0" fontId="88" fillId="13" borderId="1" xfId="0" applyFont="1" applyFill="1" applyBorder="1" applyAlignment="1">
      <alignment horizontal="center" vertical="center"/>
    </xf>
    <xf numFmtId="0" fontId="88" fillId="5" borderId="1" xfId="0" applyFont="1" applyFill="1" applyBorder="1" applyAlignment="1">
      <alignment horizontal="center" vertical="center"/>
    </xf>
    <xf numFmtId="0" fontId="88" fillId="15" borderId="1" xfId="0" applyFont="1" applyFill="1" applyBorder="1" applyAlignment="1">
      <alignment horizontal="center" vertical="center"/>
    </xf>
    <xf numFmtId="0" fontId="89" fillId="19" borderId="1" xfId="0" applyFont="1" applyFill="1" applyBorder="1" applyAlignment="1">
      <alignment horizontal="center" vertical="center"/>
    </xf>
    <xf numFmtId="0" fontId="89" fillId="6" borderId="1" xfId="0" applyFont="1" applyFill="1" applyBorder="1" applyAlignment="1">
      <alignment horizontal="center" vertical="center"/>
    </xf>
    <xf numFmtId="0" fontId="89" fillId="9" borderId="1" xfId="0" applyFont="1" applyFill="1" applyBorder="1" applyAlignment="1">
      <alignment horizontal="center" vertical="center"/>
    </xf>
    <xf numFmtId="0" fontId="89" fillId="15" borderId="1" xfId="0" applyFont="1" applyFill="1" applyBorder="1" applyAlignment="1">
      <alignment horizontal="center" vertical="center"/>
    </xf>
    <xf numFmtId="2" fontId="89" fillId="0" borderId="0" xfId="0" applyNumberFormat="1" applyFont="1" applyAlignment="1">
      <alignment horizontal="center" vertical="center"/>
    </xf>
    <xf numFmtId="1" fontId="89" fillId="0" borderId="0" xfId="0" applyNumberFormat="1" applyFont="1" applyAlignment="1">
      <alignment horizontal="center" vertical="center"/>
    </xf>
    <xf numFmtId="0" fontId="87" fillId="0" borderId="1" xfId="0" applyFont="1" applyBorder="1" applyAlignment="1">
      <alignment horizontal="center" vertical="center"/>
    </xf>
    <xf numFmtId="0" fontId="94" fillId="10" borderId="1" xfId="0" applyFont="1" applyFill="1" applyBorder="1" applyAlignment="1">
      <alignment horizontal="center" vertical="center" wrapText="1"/>
    </xf>
    <xf numFmtId="0" fontId="94" fillId="0" borderId="0" xfId="0" applyFont="1"/>
    <xf numFmtId="0" fontId="94" fillId="0" borderId="1" xfId="0" applyFont="1" applyBorder="1" applyAlignment="1">
      <alignment horizontal="center" vertical="center" wrapText="1"/>
    </xf>
    <xf numFmtId="0" fontId="94" fillId="16" borderId="1" xfId="0" applyFont="1" applyFill="1" applyBorder="1" applyAlignment="1">
      <alignment horizontal="center" vertical="center" wrapText="1"/>
    </xf>
    <xf numFmtId="0" fontId="95" fillId="0" borderId="1" xfId="1" applyFont="1" applyBorder="1" applyAlignment="1">
      <alignment horizontal="center" vertical="center" wrapText="1"/>
    </xf>
    <xf numFmtId="0" fontId="94" fillId="0" borderId="0" xfId="0" applyFont="1" applyAlignment="1">
      <alignment horizontal="center" vertical="center" wrapText="1"/>
    </xf>
    <xf numFmtId="0" fontId="96" fillId="0" borderId="0" xfId="0" applyFont="1" applyAlignment="1">
      <alignment horizontal="center" vertical="center"/>
    </xf>
    <xf numFmtId="0" fontId="94" fillId="0" borderId="1" xfId="0" applyFont="1" applyBorder="1" applyAlignment="1">
      <alignment horizontal="center" vertical="center"/>
    </xf>
    <xf numFmtId="0" fontId="97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88" fillId="0" borderId="2" xfId="0" applyFont="1" applyBorder="1" applyAlignment="1">
      <alignment horizontal="center" vertical="center"/>
    </xf>
    <xf numFmtId="0" fontId="99" fillId="0" borderId="0" xfId="0" applyFont="1" applyAlignment="1">
      <alignment horizontal="center" vertical="center" wrapText="1"/>
    </xf>
    <xf numFmtId="0" fontId="11" fillId="0" borderId="0" xfId="0" applyFont="1" applyAlignment="1">
      <alignment horizontal="center" vertical="center" wrapText="1"/>
    </xf>
    <xf numFmtId="0" fontId="101" fillId="0" borderId="0" xfId="0" applyFont="1" applyAlignment="1">
      <alignment horizontal="center" vertical="center"/>
    </xf>
    <xf numFmtId="0" fontId="88" fillId="2" borderId="2" xfId="0" applyFont="1" applyFill="1" applyBorder="1" applyAlignment="1">
      <alignment horizontal="center" vertical="center"/>
    </xf>
    <xf numFmtId="0" fontId="47" fillId="0" borderId="1" xfId="0" applyFont="1" applyBorder="1"/>
    <xf numFmtId="0" fontId="102" fillId="0" borderId="1" xfId="0" applyFont="1" applyBorder="1" applyAlignment="1">
      <alignment horizontal="center" vertical="center"/>
    </xf>
    <xf numFmtId="0" fontId="89" fillId="2" borderId="1" xfId="0" applyFont="1" applyFill="1" applyBorder="1" applyAlignment="1">
      <alignment horizontal="center" vertical="center"/>
    </xf>
    <xf numFmtId="0" fontId="89" fillId="17" borderId="1" xfId="0" applyFont="1" applyFill="1" applyBorder="1" applyAlignment="1">
      <alignment horizontal="center" vertical="center"/>
    </xf>
    <xf numFmtId="0" fontId="103" fillId="0" borderId="1" xfId="0" applyFont="1" applyBorder="1" applyAlignment="1">
      <alignment horizontal="center" vertical="center"/>
    </xf>
    <xf numFmtId="0" fontId="46" fillId="2" borderId="31" xfId="0" applyFont="1" applyFill="1" applyBorder="1" applyAlignment="1">
      <alignment horizontal="center" vertical="center"/>
    </xf>
    <xf numFmtId="0" fontId="46" fillId="2" borderId="67" xfId="0" applyFont="1" applyFill="1" applyBorder="1" applyAlignment="1">
      <alignment horizontal="center" vertical="center"/>
    </xf>
    <xf numFmtId="0" fontId="46" fillId="2" borderId="28" xfId="0" applyFont="1" applyFill="1" applyBorder="1" applyAlignment="1">
      <alignment horizontal="center" vertical="center"/>
    </xf>
    <xf numFmtId="0" fontId="104" fillId="0" borderId="0" xfId="0" applyFont="1" applyAlignment="1">
      <alignment horizontal="center" vertical="center" wrapText="1"/>
    </xf>
    <xf numFmtId="0" fontId="88" fillId="2" borderId="30" xfId="0" applyFont="1" applyFill="1" applyBorder="1" applyAlignment="1" applyProtection="1">
      <alignment horizontal="center" vertical="center"/>
      <protection locked="0"/>
    </xf>
    <xf numFmtId="0" fontId="88" fillId="0" borderId="30" xfId="0" applyFont="1" applyBorder="1"/>
    <xf numFmtId="0" fontId="88" fillId="0" borderId="31" xfId="0" applyFont="1" applyBorder="1"/>
    <xf numFmtId="0" fontId="47" fillId="0" borderId="67" xfId="0" applyFont="1" applyBorder="1"/>
    <xf numFmtId="0" fontId="88" fillId="0" borderId="67" xfId="0" applyFont="1" applyBorder="1"/>
    <xf numFmtId="0" fontId="88" fillId="2" borderId="70" xfId="0" applyFont="1" applyFill="1" applyBorder="1" applyAlignment="1">
      <alignment horizontal="center" vertical="center"/>
    </xf>
    <xf numFmtId="0" fontId="103" fillId="0" borderId="27" xfId="0" applyFont="1" applyBorder="1" applyAlignment="1">
      <alignment horizontal="center" vertical="center"/>
    </xf>
    <xf numFmtId="0" fontId="88" fillId="2" borderId="27" xfId="0" applyFont="1" applyFill="1" applyBorder="1" applyAlignment="1">
      <alignment horizontal="center" vertical="center"/>
    </xf>
    <xf numFmtId="0" fontId="100" fillId="0" borderId="27" xfId="0" applyFont="1" applyBorder="1" applyAlignment="1">
      <alignment horizontal="center" vertical="center"/>
    </xf>
    <xf numFmtId="0" fontId="102" fillId="0" borderId="27" xfId="0" applyFont="1" applyBorder="1" applyAlignment="1">
      <alignment horizontal="center" vertical="center"/>
    </xf>
    <xf numFmtId="0" fontId="47" fillId="2" borderId="27" xfId="0" applyFont="1" applyFill="1" applyBorder="1"/>
    <xf numFmtId="0" fontId="47" fillId="0" borderId="27" xfId="0" applyFont="1" applyBorder="1"/>
    <xf numFmtId="0" fontId="47" fillId="0" borderId="28" xfId="0" applyFont="1" applyBorder="1"/>
    <xf numFmtId="0" fontId="88" fillId="2" borderId="28" xfId="0" applyFont="1" applyFill="1" applyBorder="1" applyProtection="1">
      <protection locked="0"/>
    </xf>
    <xf numFmtId="0" fontId="103" fillId="0" borderId="30" xfId="0" applyFont="1" applyBorder="1" applyAlignment="1">
      <alignment horizontal="center" vertical="center"/>
    </xf>
    <xf numFmtId="0" fontId="105" fillId="0" borderId="1" xfId="0" applyFont="1" applyBorder="1" applyAlignment="1">
      <alignment horizontal="center" vertical="center" wrapText="1"/>
    </xf>
    <xf numFmtId="0" fontId="106" fillId="0" borderId="0" xfId="0" applyFont="1" applyAlignment="1">
      <alignment horizontal="center" vertical="center" wrapText="1"/>
    </xf>
    <xf numFmtId="0" fontId="106" fillId="0" borderId="1" xfId="0" applyFont="1" applyBorder="1" applyAlignment="1">
      <alignment horizontal="center" vertical="center" wrapText="1"/>
    </xf>
    <xf numFmtId="0" fontId="107" fillId="0" borderId="0" xfId="0" applyFont="1" applyAlignment="1">
      <alignment horizontal="center" vertical="center"/>
    </xf>
    <xf numFmtId="0" fontId="107" fillId="0" borderId="0" xfId="0" applyFont="1"/>
    <xf numFmtId="0" fontId="107" fillId="0" borderId="1" xfId="0" applyFont="1" applyBorder="1" applyAlignment="1">
      <alignment horizontal="center" vertical="center"/>
    </xf>
    <xf numFmtId="0" fontId="7" fillId="0" borderId="1" xfId="0" applyFont="1" applyBorder="1"/>
    <xf numFmtId="0" fontId="109" fillId="10" borderId="1" xfId="0" applyFont="1" applyFill="1" applyBorder="1" applyAlignment="1">
      <alignment horizontal="center" vertical="center"/>
    </xf>
    <xf numFmtId="0" fontId="110" fillId="2" borderId="27" xfId="0" applyFont="1" applyFill="1" applyBorder="1" applyAlignment="1" applyProtection="1">
      <alignment horizontal="center" vertical="center"/>
      <protection locked="0"/>
    </xf>
    <xf numFmtId="0" fontId="110" fillId="0" borderId="1" xfId="0" applyFont="1" applyBorder="1" applyAlignment="1">
      <alignment horizontal="center" vertical="center"/>
    </xf>
    <xf numFmtId="0" fontId="111" fillId="0" borderId="8" xfId="0" applyFont="1" applyBorder="1" applyAlignment="1">
      <alignment horizontal="center" vertical="center"/>
    </xf>
    <xf numFmtId="0" fontId="111" fillId="0" borderId="9" xfId="0" applyFont="1" applyBorder="1" applyAlignment="1">
      <alignment horizontal="center" vertical="center"/>
    </xf>
    <xf numFmtId="0" fontId="112" fillId="0" borderId="1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113" fillId="0" borderId="0" xfId="0" applyFont="1"/>
    <xf numFmtId="0" fontId="113" fillId="0" borderId="0" xfId="0" applyFont="1" applyAlignment="1">
      <alignment horizontal="center" vertical="center"/>
    </xf>
    <xf numFmtId="0" fontId="113" fillId="0" borderId="0" xfId="0" applyFont="1" applyAlignment="1">
      <alignment horizontal="center"/>
    </xf>
    <xf numFmtId="0" fontId="114" fillId="0" borderId="0" xfId="0" applyFont="1" applyAlignment="1">
      <alignment horizontal="center" vertical="center"/>
    </xf>
    <xf numFmtId="0" fontId="115" fillId="0" borderId="0" xfId="0" applyFont="1" applyAlignment="1">
      <alignment horizontal="center" vertical="center"/>
    </xf>
    <xf numFmtId="0" fontId="116" fillId="0" borderId="0" xfId="0" applyFont="1" applyAlignment="1">
      <alignment horizontal="left" vertical="center"/>
    </xf>
    <xf numFmtId="0" fontId="117" fillId="0" borderId="0" xfId="0" applyFont="1" applyAlignment="1">
      <alignment horizontal="center" vertical="center"/>
    </xf>
    <xf numFmtId="0" fontId="27" fillId="0" borderId="2" xfId="0" applyFont="1" applyBorder="1" applyAlignment="1">
      <alignment horizontal="center" vertical="center"/>
    </xf>
    <xf numFmtId="0" fontId="27" fillId="2" borderId="101" xfId="0" applyFont="1" applyFill="1" applyBorder="1" applyAlignment="1" applyProtection="1">
      <alignment horizontal="center" vertical="center"/>
      <protection locked="0"/>
    </xf>
    <xf numFmtId="0" fontId="28" fillId="0" borderId="0" xfId="0" applyFont="1" applyAlignment="1">
      <alignment vertical="center"/>
    </xf>
    <xf numFmtId="0" fontId="115" fillId="0" borderId="9" xfId="0" applyFont="1" applyBorder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118" fillId="0" borderId="9" xfId="0" applyFont="1" applyBorder="1" applyAlignment="1">
      <alignment horizontal="center" vertical="center"/>
    </xf>
    <xf numFmtId="0" fontId="119" fillId="0" borderId="1" xfId="0" applyFont="1" applyBorder="1" applyAlignment="1">
      <alignment horizontal="center" vertical="center"/>
    </xf>
    <xf numFmtId="0" fontId="27" fillId="0" borderId="32" xfId="0" applyFont="1" applyBorder="1" applyAlignment="1">
      <alignment horizontal="center" vertical="center"/>
    </xf>
    <xf numFmtId="0" fontId="27" fillId="0" borderId="34" xfId="0" applyFont="1" applyBorder="1" applyAlignment="1">
      <alignment horizontal="center" vertical="center"/>
    </xf>
    <xf numFmtId="0" fontId="5" fillId="0" borderId="9" xfId="0" applyFont="1" applyBorder="1" applyAlignment="1">
      <alignment horizontal="center" vertical="center"/>
    </xf>
    <xf numFmtId="0" fontId="120" fillId="0" borderId="0" xfId="0" applyFont="1" applyAlignment="1">
      <alignment horizontal="center" vertical="center"/>
    </xf>
    <xf numFmtId="0" fontId="120" fillId="0" borderId="1" xfId="0" applyFont="1" applyBorder="1" applyAlignment="1">
      <alignment horizontal="center" vertical="center"/>
    </xf>
    <xf numFmtId="0" fontId="121" fillId="0" borderId="1" xfId="0" applyFont="1" applyBorder="1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0" fontId="122" fillId="0" borderId="0" xfId="0" applyFont="1" applyAlignment="1">
      <alignment horizontal="center"/>
    </xf>
    <xf numFmtId="0" fontId="123" fillId="0" borderId="0" xfId="0" applyFont="1" applyAlignment="1">
      <alignment horizontal="center" vertical="center"/>
    </xf>
    <xf numFmtId="0" fontId="71" fillId="0" borderId="1" xfId="0" applyFont="1" applyBorder="1" applyAlignment="1">
      <alignment horizontal="center"/>
    </xf>
    <xf numFmtId="0" fontId="45" fillId="0" borderId="1" xfId="0" applyFont="1" applyBorder="1" applyAlignment="1">
      <alignment horizontal="center"/>
    </xf>
    <xf numFmtId="0" fontId="71" fillId="0" borderId="1" xfId="0" applyFont="1" applyBorder="1" applyAlignment="1">
      <alignment horizontal="center" vertical="center" wrapText="1"/>
    </xf>
    <xf numFmtId="0" fontId="71" fillId="0" borderId="1" xfId="0" applyFont="1" applyBorder="1" applyAlignment="1">
      <alignment horizontal="center" vertical="center"/>
    </xf>
    <xf numFmtId="0" fontId="45" fillId="0" borderId="1" xfId="0" applyFont="1" applyBorder="1" applyAlignment="1">
      <alignment horizontal="center" vertical="center"/>
    </xf>
    <xf numFmtId="0" fontId="88" fillId="0" borderId="65" xfId="0" applyFont="1" applyBorder="1" applyAlignment="1">
      <alignment horizontal="center" vertical="center"/>
    </xf>
    <xf numFmtId="0" fontId="88" fillId="0" borderId="66" xfId="0" applyFont="1" applyBorder="1" applyAlignment="1">
      <alignment horizontal="center" vertical="center"/>
    </xf>
    <xf numFmtId="0" fontId="45" fillId="0" borderId="2" xfId="0" applyFont="1" applyBorder="1" applyAlignment="1">
      <alignment horizontal="center" vertical="center"/>
    </xf>
    <xf numFmtId="0" fontId="45" fillId="0" borderId="3" xfId="0" applyFont="1" applyBorder="1" applyAlignment="1">
      <alignment horizontal="center" vertical="center"/>
    </xf>
    <xf numFmtId="0" fontId="45" fillId="0" borderId="80" xfId="0" applyFont="1" applyBorder="1" applyAlignment="1">
      <alignment horizontal="center" vertical="center"/>
    </xf>
    <xf numFmtId="0" fontId="77" fillId="0" borderId="66" xfId="0" applyFont="1" applyBorder="1" applyAlignment="1">
      <alignment horizontal="center" vertical="center"/>
    </xf>
    <xf numFmtId="0" fontId="77" fillId="0" borderId="68" xfId="0" applyFont="1" applyBorder="1" applyAlignment="1">
      <alignment horizontal="center" vertical="center"/>
    </xf>
    <xf numFmtId="0" fontId="80" fillId="0" borderId="65" xfId="0" applyFont="1" applyBorder="1" applyAlignment="1">
      <alignment horizontal="center" vertical="center" wrapText="1"/>
    </xf>
    <xf numFmtId="0" fontId="80" fillId="0" borderId="66" xfId="0" applyFont="1" applyBorder="1" applyAlignment="1">
      <alignment horizontal="center" vertical="center" wrapText="1"/>
    </xf>
    <xf numFmtId="0" fontId="80" fillId="0" borderId="68" xfId="0" applyFont="1" applyBorder="1" applyAlignment="1">
      <alignment horizontal="center" vertical="center" wrapText="1"/>
    </xf>
    <xf numFmtId="0" fontId="28" fillId="0" borderId="82" xfId="0" applyFont="1" applyBorder="1" applyAlignment="1">
      <alignment horizontal="center" vertical="center"/>
    </xf>
    <xf numFmtId="0" fontId="28" fillId="0" borderId="85" xfId="0" applyFont="1" applyBorder="1" applyAlignment="1">
      <alignment horizontal="center" vertical="center"/>
    </xf>
    <xf numFmtId="0" fontId="28" fillId="0" borderId="100" xfId="0" applyFont="1" applyBorder="1" applyAlignment="1">
      <alignment horizontal="center" vertical="center"/>
    </xf>
    <xf numFmtId="0" fontId="46" fillId="0" borderId="40" xfId="0" applyFont="1" applyBorder="1" applyAlignment="1">
      <alignment horizontal="center" vertical="center"/>
    </xf>
    <xf numFmtId="0" fontId="46" fillId="0" borderId="41" xfId="0" applyFont="1" applyBorder="1" applyAlignment="1">
      <alignment horizontal="center" vertical="center"/>
    </xf>
    <xf numFmtId="0" fontId="46" fillId="0" borderId="42" xfId="0" applyFont="1" applyBorder="1" applyAlignment="1">
      <alignment horizontal="center" vertical="center"/>
    </xf>
    <xf numFmtId="0" fontId="46" fillId="0" borderId="43" xfId="0" applyFont="1" applyBorder="1" applyAlignment="1">
      <alignment horizontal="center" vertical="center"/>
    </xf>
    <xf numFmtId="0" fontId="46" fillId="0" borderId="44" xfId="0" applyFont="1" applyBorder="1" applyAlignment="1">
      <alignment horizontal="center" vertical="center"/>
    </xf>
    <xf numFmtId="0" fontId="46" fillId="0" borderId="24" xfId="0" applyFont="1" applyBorder="1" applyAlignment="1">
      <alignment horizontal="center" vertical="center"/>
    </xf>
    <xf numFmtId="0" fontId="46" fillId="0" borderId="25" xfId="0" applyFont="1" applyBorder="1" applyAlignment="1">
      <alignment horizontal="center" vertical="center"/>
    </xf>
    <xf numFmtId="0" fontId="46" fillId="2" borderId="30" xfId="0" applyFont="1" applyFill="1" applyBorder="1" applyAlignment="1" applyProtection="1">
      <alignment horizontal="center" vertical="center"/>
      <protection locked="0"/>
    </xf>
    <xf numFmtId="0" fontId="46" fillId="2" borderId="27" xfId="0" applyFont="1" applyFill="1" applyBorder="1" applyAlignment="1" applyProtection="1">
      <alignment horizontal="center" vertical="center"/>
      <protection locked="0"/>
    </xf>
    <xf numFmtId="0" fontId="28" fillId="0" borderId="87" xfId="0" applyFont="1" applyBorder="1" applyAlignment="1">
      <alignment horizontal="center" vertical="center"/>
    </xf>
    <xf numFmtId="0" fontId="47" fillId="0" borderId="37" xfId="0" applyFont="1" applyBorder="1" applyAlignment="1">
      <alignment horizontal="center" vertical="center"/>
    </xf>
    <xf numFmtId="0" fontId="47" fillId="0" borderId="38" xfId="0" applyFont="1" applyBorder="1" applyAlignment="1">
      <alignment horizontal="center" vertical="center"/>
    </xf>
    <xf numFmtId="0" fontId="47" fillId="0" borderId="39" xfId="0" applyFont="1" applyBorder="1" applyAlignment="1">
      <alignment horizontal="center" vertical="center"/>
    </xf>
    <xf numFmtId="0" fontId="46" fillId="0" borderId="32" xfId="0" applyFont="1" applyBorder="1" applyAlignment="1">
      <alignment horizontal="center" vertical="center"/>
    </xf>
    <xf numFmtId="0" fontId="46" fillId="0" borderId="33" xfId="0" applyFont="1" applyBorder="1" applyAlignment="1">
      <alignment horizontal="center" vertical="center"/>
    </xf>
    <xf numFmtId="0" fontId="46" fillId="0" borderId="35" xfId="0" applyFont="1" applyBorder="1" applyAlignment="1">
      <alignment horizontal="center" vertical="center"/>
    </xf>
    <xf numFmtId="0" fontId="46" fillId="0" borderId="29" xfId="0" applyFont="1" applyBorder="1" applyAlignment="1">
      <alignment horizontal="center" vertical="center"/>
    </xf>
    <xf numFmtId="0" fontId="70" fillId="0" borderId="5" xfId="0" applyFont="1" applyBorder="1" applyAlignment="1">
      <alignment horizontal="center" vertical="center"/>
    </xf>
    <xf numFmtId="0" fontId="70" fillId="0" borderId="6" xfId="0" applyFont="1" applyBorder="1" applyAlignment="1">
      <alignment horizontal="center" vertical="center"/>
    </xf>
    <xf numFmtId="0" fontId="70" fillId="0" borderId="7" xfId="0" applyFont="1" applyBorder="1" applyAlignment="1">
      <alignment horizontal="center" vertical="center"/>
    </xf>
    <xf numFmtId="0" fontId="70" fillId="0" borderId="8" xfId="0" applyFont="1" applyBorder="1" applyAlignment="1">
      <alignment horizontal="center" vertical="center"/>
    </xf>
    <xf numFmtId="0" fontId="70" fillId="0" borderId="0" xfId="0" applyFont="1" applyAlignment="1">
      <alignment horizontal="center" vertical="center"/>
    </xf>
    <xf numFmtId="0" fontId="70" fillId="0" borderId="9" xfId="0" applyFont="1" applyBorder="1" applyAlignment="1">
      <alignment horizontal="center" vertical="center"/>
    </xf>
    <xf numFmtId="0" fontId="70" fillId="0" borderId="10" xfId="0" applyFont="1" applyBorder="1" applyAlignment="1">
      <alignment horizontal="center" vertical="center"/>
    </xf>
    <xf numFmtId="0" fontId="70" fillId="0" borderId="11" xfId="0" applyFont="1" applyBorder="1" applyAlignment="1">
      <alignment horizontal="center" vertical="center"/>
    </xf>
    <xf numFmtId="0" fontId="70" fillId="0" borderId="12" xfId="0" applyFont="1" applyBorder="1" applyAlignment="1">
      <alignment horizontal="center" vertical="center"/>
    </xf>
    <xf numFmtId="0" fontId="46" fillId="0" borderId="50" xfId="0" applyFont="1" applyBorder="1" applyAlignment="1">
      <alignment horizontal="center" vertical="center"/>
    </xf>
    <xf numFmtId="0" fontId="46" fillId="0" borderId="51" xfId="0" applyFont="1" applyBorder="1" applyAlignment="1">
      <alignment horizontal="center" vertical="center"/>
    </xf>
    <xf numFmtId="0" fontId="77" fillId="0" borderId="65" xfId="0" applyFont="1" applyBorder="1" applyAlignment="1">
      <alignment horizontal="center" vertical="center"/>
    </xf>
    <xf numFmtId="0" fontId="88" fillId="0" borderId="37" xfId="0" applyFont="1" applyBorder="1" applyAlignment="1">
      <alignment horizontal="center" vertical="center"/>
    </xf>
    <xf numFmtId="0" fontId="88" fillId="0" borderId="38" xfId="0" applyFont="1" applyBorder="1" applyAlignment="1">
      <alignment horizontal="center" vertical="center"/>
    </xf>
    <xf numFmtId="0" fontId="88" fillId="0" borderId="39" xfId="0" applyFont="1" applyBorder="1" applyAlignment="1">
      <alignment horizontal="center" vertical="center"/>
    </xf>
    <xf numFmtId="0" fontId="88" fillId="0" borderId="68" xfId="0" applyFont="1" applyBorder="1" applyAlignment="1">
      <alignment horizontal="center" vertical="center"/>
    </xf>
    <xf numFmtId="0" fontId="46" fillId="0" borderId="73" xfId="0" applyFont="1" applyBorder="1" applyAlignment="1">
      <alignment horizontal="center" vertical="center"/>
    </xf>
    <xf numFmtId="0" fontId="46" fillId="0" borderId="76" xfId="0" applyFont="1" applyBorder="1" applyAlignment="1">
      <alignment horizontal="center" vertical="center"/>
    </xf>
    <xf numFmtId="0" fontId="46" fillId="0" borderId="79" xfId="0" applyFont="1" applyBorder="1" applyAlignment="1">
      <alignment horizontal="center" vertical="center"/>
    </xf>
    <xf numFmtId="0" fontId="45" fillId="0" borderId="74" xfId="0" applyFont="1" applyBorder="1" applyAlignment="1">
      <alignment horizontal="center" vertical="center"/>
    </xf>
    <xf numFmtId="0" fontId="88" fillId="0" borderId="2" xfId="0" applyFont="1" applyBorder="1" applyAlignment="1">
      <alignment horizontal="center" vertical="center" wrapText="1"/>
    </xf>
    <xf numFmtId="0" fontId="88" fillId="0" borderId="3" xfId="0" applyFont="1" applyBorder="1" applyAlignment="1">
      <alignment horizontal="center" vertical="center" wrapText="1"/>
    </xf>
    <xf numFmtId="0" fontId="88" fillId="0" borderId="4" xfId="0" applyFont="1" applyBorder="1" applyAlignment="1">
      <alignment horizontal="center" vertical="center" wrapText="1"/>
    </xf>
    <xf numFmtId="0" fontId="73" fillId="0" borderId="50" xfId="0" applyFont="1" applyBorder="1" applyAlignment="1">
      <alignment horizontal="center" vertical="center"/>
    </xf>
    <xf numFmtId="0" fontId="28" fillId="0" borderId="51" xfId="0" applyFont="1" applyBorder="1" applyAlignment="1">
      <alignment horizontal="center" vertical="center"/>
    </xf>
    <xf numFmtId="0" fontId="103" fillId="0" borderId="65" xfId="0" applyFont="1" applyBorder="1" applyAlignment="1">
      <alignment horizontal="center" vertical="center" wrapText="1"/>
    </xf>
    <xf numFmtId="0" fontId="88" fillId="0" borderId="66" xfId="0" applyFont="1" applyBorder="1" applyAlignment="1">
      <alignment horizontal="center" vertical="center" wrapText="1"/>
    </xf>
    <xf numFmtId="0" fontId="88" fillId="0" borderId="68" xfId="0" applyFont="1" applyBorder="1" applyAlignment="1">
      <alignment horizontal="center" vertical="center" wrapText="1"/>
    </xf>
    <xf numFmtId="0" fontId="103" fillId="0" borderId="66" xfId="0" applyFont="1" applyBorder="1" applyAlignment="1">
      <alignment horizontal="center" vertical="center" wrapText="1"/>
    </xf>
    <xf numFmtId="0" fontId="103" fillId="0" borderId="68" xfId="0" applyFont="1" applyBorder="1" applyAlignment="1">
      <alignment horizontal="center" vertical="center" wrapText="1"/>
    </xf>
    <xf numFmtId="0" fontId="46" fillId="0" borderId="65" xfId="0" applyFont="1" applyBorder="1" applyAlignment="1">
      <alignment horizontal="center" vertical="center" wrapText="1"/>
    </xf>
    <xf numFmtId="0" fontId="46" fillId="0" borderId="66" xfId="0" applyFont="1" applyBorder="1" applyAlignment="1">
      <alignment horizontal="center" vertical="center" wrapText="1"/>
    </xf>
    <xf numFmtId="0" fontId="46" fillId="0" borderId="68" xfId="0" applyFont="1" applyBorder="1" applyAlignment="1">
      <alignment horizontal="center" vertical="center" wrapText="1"/>
    </xf>
    <xf numFmtId="0" fontId="115" fillId="0" borderId="98" xfId="0" applyFont="1" applyBorder="1" applyAlignment="1">
      <alignment horizontal="center" vertical="center"/>
    </xf>
    <xf numFmtId="0" fontId="28" fillId="0" borderId="98" xfId="0" applyFont="1" applyBorder="1" applyAlignment="1">
      <alignment horizontal="center" vertical="center"/>
    </xf>
    <xf numFmtId="0" fontId="28" fillId="0" borderId="43" xfId="0" applyFont="1" applyBorder="1" applyAlignment="1">
      <alignment horizontal="center" vertical="center"/>
    </xf>
    <xf numFmtId="0" fontId="28" fillId="0" borderId="50" xfId="0" applyFont="1" applyBorder="1" applyAlignment="1">
      <alignment horizontal="center" vertical="center"/>
    </xf>
    <xf numFmtId="0" fontId="28" fillId="0" borderId="99" xfId="0" applyFont="1" applyBorder="1" applyAlignment="1">
      <alignment horizontal="center" vertical="center"/>
    </xf>
    <xf numFmtId="0" fontId="124" fillId="0" borderId="0" xfId="0" applyFon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36" fillId="0" borderId="65" xfId="0" applyFont="1" applyBorder="1" applyAlignment="1">
      <alignment horizontal="center" vertical="center"/>
    </xf>
    <xf numFmtId="0" fontId="36" fillId="0" borderId="30" xfId="0" applyFont="1" applyBorder="1" applyAlignment="1">
      <alignment horizontal="center" vertical="center"/>
    </xf>
    <xf numFmtId="0" fontId="36" fillId="0" borderId="31" xfId="0" applyFont="1" applyBorder="1" applyAlignment="1">
      <alignment horizontal="center" vertical="center"/>
    </xf>
    <xf numFmtId="0" fontId="36" fillId="0" borderId="1" xfId="0" applyFont="1" applyBorder="1" applyAlignment="1">
      <alignment horizontal="center" vertical="center"/>
    </xf>
    <xf numFmtId="0" fontId="36" fillId="0" borderId="26" xfId="0" applyFont="1" applyBorder="1" applyAlignment="1">
      <alignment horizontal="center" vertical="center"/>
    </xf>
    <xf numFmtId="0" fontId="36" fillId="0" borderId="52" xfId="0" applyFont="1" applyBorder="1" applyAlignment="1">
      <alignment horizontal="center" vertical="center"/>
    </xf>
    <xf numFmtId="0" fontId="36" fillId="0" borderId="53" xfId="0" applyFont="1" applyBorder="1" applyAlignment="1">
      <alignment horizontal="center" vertical="center"/>
    </xf>
    <xf numFmtId="0" fontId="88" fillId="0" borderId="1" xfId="0" applyFont="1" applyBorder="1" applyAlignment="1">
      <alignment horizontal="center" vertical="center"/>
    </xf>
    <xf numFmtId="0" fontId="88" fillId="0" borderId="0" xfId="0" applyFont="1" applyAlignment="1">
      <alignment horizontal="center" vertical="center"/>
    </xf>
    <xf numFmtId="0" fontId="88" fillId="0" borderId="26" xfId="0" applyFont="1" applyBorder="1" applyAlignment="1">
      <alignment horizontal="center" vertical="center"/>
    </xf>
    <xf numFmtId="0" fontId="88" fillId="0" borderId="52" xfId="0" applyFont="1" applyBorder="1" applyAlignment="1">
      <alignment horizontal="center" vertical="center"/>
    </xf>
    <xf numFmtId="0" fontId="88" fillId="0" borderId="53" xfId="0" applyFont="1" applyBorder="1" applyAlignment="1">
      <alignment horizontal="center" vertical="center"/>
    </xf>
    <xf numFmtId="0" fontId="88" fillId="0" borderId="2" xfId="0" applyFont="1" applyBorder="1" applyAlignment="1">
      <alignment horizontal="center" vertical="center"/>
    </xf>
    <xf numFmtId="0" fontId="88" fillId="0" borderId="4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10" fillId="9" borderId="1" xfId="0" applyFont="1" applyFill="1" applyBorder="1" applyAlignment="1">
      <alignment horizontal="center" vertical="center"/>
    </xf>
    <xf numFmtId="0" fontId="7" fillId="9" borderId="1" xfId="0" applyFont="1" applyFill="1" applyBorder="1" applyAlignment="1">
      <alignment horizontal="center" vertical="center"/>
    </xf>
    <xf numFmtId="0" fontId="10" fillId="9" borderId="1" xfId="0" applyFont="1" applyFill="1" applyBorder="1" applyAlignment="1">
      <alignment horizontal="center" vertical="center" wrapText="1"/>
    </xf>
    <xf numFmtId="0" fontId="7" fillId="9" borderId="1" xfId="0" applyFont="1" applyFill="1" applyBorder="1" applyAlignment="1">
      <alignment horizontal="center" vertical="center" wrapText="1"/>
    </xf>
    <xf numFmtId="0" fontId="37" fillId="9" borderId="1" xfId="0" applyFont="1" applyFill="1" applyBorder="1" applyAlignment="1">
      <alignment horizontal="center" vertical="center"/>
    </xf>
    <xf numFmtId="0" fontId="28" fillId="9" borderId="1" xfId="0" applyFont="1" applyFill="1" applyBorder="1" applyAlignment="1">
      <alignment horizontal="center" vertical="center"/>
    </xf>
    <xf numFmtId="0" fontId="18" fillId="9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37" fillId="0" borderId="26" xfId="0" applyFont="1" applyBorder="1" applyAlignment="1">
      <alignment horizontal="center" vertical="center"/>
    </xf>
    <xf numFmtId="0" fontId="7" fillId="0" borderId="52" xfId="0" applyFont="1" applyBorder="1" applyAlignment="1">
      <alignment horizontal="center" vertical="center"/>
    </xf>
    <xf numFmtId="0" fontId="7" fillId="0" borderId="53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0" fontId="10" fillId="0" borderId="26" xfId="0" applyFont="1" applyBorder="1" applyAlignment="1">
      <alignment horizontal="center"/>
    </xf>
    <xf numFmtId="0" fontId="10" fillId="0" borderId="52" xfId="0" applyFont="1" applyBorder="1" applyAlignment="1">
      <alignment horizontal="center"/>
    </xf>
    <xf numFmtId="0" fontId="10" fillId="0" borderId="53" xfId="0" applyFont="1" applyBorder="1" applyAlignment="1">
      <alignment horizontal="center"/>
    </xf>
    <xf numFmtId="0" fontId="7" fillId="0" borderId="2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37" fillId="8" borderId="2" xfId="0" applyFont="1" applyFill="1" applyBorder="1" applyAlignment="1">
      <alignment horizontal="center" vertical="center"/>
    </xf>
    <xf numFmtId="0" fontId="37" fillId="8" borderId="4" xfId="0" applyFont="1" applyFill="1" applyBorder="1" applyAlignment="1">
      <alignment horizontal="center" vertical="center"/>
    </xf>
    <xf numFmtId="0" fontId="59" fillId="9" borderId="1" xfId="0" applyFont="1" applyFill="1" applyBorder="1" applyAlignment="1">
      <alignment horizontal="center" vertical="center" wrapText="1"/>
    </xf>
    <xf numFmtId="0" fontId="108" fillId="9" borderId="1" xfId="0" applyFont="1" applyFill="1" applyBorder="1" applyAlignment="1">
      <alignment horizontal="center" vertical="center" wrapText="1"/>
    </xf>
    <xf numFmtId="0" fontId="120" fillId="0" borderId="1" xfId="0" applyFont="1" applyBorder="1" applyAlignment="1">
      <alignment horizontal="center" vertical="center"/>
    </xf>
    <xf numFmtId="0" fontId="120" fillId="0" borderId="15" xfId="0" applyFont="1" applyBorder="1" applyAlignment="1">
      <alignment horizontal="center" vertical="center" wrapText="1"/>
    </xf>
    <xf numFmtId="0" fontId="14" fillId="0" borderId="15" xfId="0" applyFont="1" applyBorder="1" applyAlignment="1">
      <alignment horizontal="center" vertical="center" wrapText="1"/>
    </xf>
    <xf numFmtId="0" fontId="14" fillId="0" borderId="16" xfId="0" applyFont="1" applyBorder="1" applyAlignment="1">
      <alignment horizontal="center" vertical="center" wrapText="1"/>
    </xf>
    <xf numFmtId="0" fontId="10" fillId="6" borderId="49" xfId="0" applyFont="1" applyFill="1" applyBorder="1" applyAlignment="1">
      <alignment horizontal="center" vertical="center"/>
    </xf>
    <xf numFmtId="0" fontId="10" fillId="6" borderId="45" xfId="0" applyFont="1" applyFill="1" applyBorder="1" applyAlignment="1">
      <alignment horizontal="center" vertical="center"/>
    </xf>
    <xf numFmtId="0" fontId="10" fillId="6" borderId="46" xfId="0" applyFont="1" applyFill="1" applyBorder="1" applyAlignment="1">
      <alignment horizontal="center" vertical="center"/>
    </xf>
    <xf numFmtId="176" fontId="32" fillId="6" borderId="45" xfId="0" applyNumberFormat="1" applyFont="1" applyFill="1" applyBorder="1" applyAlignment="1">
      <alignment horizontal="center" vertical="center"/>
    </xf>
    <xf numFmtId="176" fontId="10" fillId="6" borderId="46" xfId="0" applyNumberFormat="1" applyFont="1" applyFill="1" applyBorder="1" applyAlignment="1">
      <alignment horizontal="center" vertical="center"/>
    </xf>
    <xf numFmtId="0" fontId="111" fillId="0" borderId="8" xfId="0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0" fillId="0" borderId="9" xfId="0" applyFont="1" applyBorder="1" applyAlignment="1">
      <alignment horizontal="center" vertical="center"/>
    </xf>
    <xf numFmtId="0" fontId="32" fillId="0" borderId="8" xfId="0" applyFont="1" applyBorder="1" applyAlignment="1">
      <alignment horizontal="center" vertical="center"/>
    </xf>
    <xf numFmtId="0" fontId="13" fillId="0" borderId="8" xfId="0" applyFont="1" applyBorder="1" applyAlignment="1">
      <alignment horizontal="center" vertical="center"/>
    </xf>
    <xf numFmtId="0" fontId="10" fillId="0" borderId="8" xfId="0" applyFont="1" applyBorder="1" applyAlignment="1">
      <alignment horizontal="center" vertical="center"/>
    </xf>
    <xf numFmtId="0" fontId="59" fillId="0" borderId="0" xfId="0" applyFont="1" applyAlignment="1">
      <alignment horizontal="center" vertical="center"/>
    </xf>
    <xf numFmtId="0" fontId="16" fillId="0" borderId="14" xfId="0" applyFont="1" applyBorder="1" applyAlignment="1">
      <alignment horizontal="center" vertical="center"/>
    </xf>
    <xf numFmtId="0" fontId="16" fillId="0" borderId="15" xfId="0" applyFont="1" applyBorder="1" applyAlignment="1">
      <alignment horizontal="center" vertical="center"/>
    </xf>
    <xf numFmtId="0" fontId="16" fillId="0" borderId="16" xfId="0" applyFont="1" applyBorder="1" applyAlignment="1">
      <alignment horizontal="center" vertical="center"/>
    </xf>
    <xf numFmtId="0" fontId="47" fillId="0" borderId="15" xfId="0" applyFont="1" applyBorder="1" applyAlignment="1">
      <alignment horizontal="center" vertical="center"/>
    </xf>
    <xf numFmtId="0" fontId="14" fillId="0" borderId="15" xfId="0" applyFont="1" applyBorder="1" applyAlignment="1">
      <alignment horizontal="center" vertical="center"/>
    </xf>
    <xf numFmtId="0" fontId="14" fillId="0" borderId="16" xfId="0" applyFont="1" applyBorder="1" applyAlignment="1">
      <alignment horizontal="center" vertical="center"/>
    </xf>
    <xf numFmtId="0" fontId="14" fillId="0" borderId="14" xfId="0" applyFont="1" applyBorder="1" applyAlignment="1">
      <alignment horizontal="center" vertical="center"/>
    </xf>
    <xf numFmtId="0" fontId="50" fillId="0" borderId="14" xfId="0" applyFont="1" applyBorder="1" applyAlignment="1">
      <alignment horizontal="center" vertical="center"/>
    </xf>
    <xf numFmtId="0" fontId="115" fillId="0" borderId="8" xfId="0" applyFont="1" applyBorder="1" applyAlignment="1">
      <alignment horizontal="center" vertical="center"/>
    </xf>
    <xf numFmtId="0" fontId="32" fillId="0" borderId="15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32" fillId="0" borderId="0" xfId="0" applyFont="1" applyAlignment="1">
      <alignment horizontal="center" vertical="center"/>
    </xf>
    <xf numFmtId="0" fontId="59" fillId="0" borderId="15" xfId="0" applyFont="1" applyBorder="1" applyAlignment="1">
      <alignment horizontal="center" vertical="center"/>
    </xf>
    <xf numFmtId="0" fontId="59" fillId="0" borderId="8" xfId="0" applyFont="1" applyBorder="1" applyAlignment="1">
      <alignment horizontal="center" vertical="center"/>
    </xf>
    <xf numFmtId="0" fontId="73" fillId="0" borderId="15" xfId="0" applyFont="1" applyBorder="1" applyAlignment="1">
      <alignment horizontal="center" vertical="center"/>
    </xf>
    <xf numFmtId="0" fontId="73" fillId="0" borderId="15" xfId="0" applyFont="1" applyBorder="1" applyAlignment="1">
      <alignment horizontal="center" vertical="center" wrapText="1"/>
    </xf>
    <xf numFmtId="0" fontId="89" fillId="0" borderId="1" xfId="0" applyFont="1" applyBorder="1" applyAlignment="1">
      <alignment horizontal="center" vertical="center"/>
    </xf>
    <xf numFmtId="0" fontId="87" fillId="0" borderId="1" xfId="0" applyFont="1" applyBorder="1" applyAlignment="1">
      <alignment horizontal="center" vertical="center"/>
    </xf>
    <xf numFmtId="0" fontId="5" fillId="0" borderId="26" xfId="0" applyFont="1" applyBorder="1" applyAlignment="1">
      <alignment horizontal="center" vertical="center"/>
    </xf>
    <xf numFmtId="0" fontId="5" fillId="0" borderId="53" xfId="0" applyFont="1" applyBorder="1" applyAlignment="1">
      <alignment horizontal="center" vertical="center"/>
    </xf>
    <xf numFmtId="0" fontId="68" fillId="0" borderId="19" xfId="0" applyFont="1" applyBorder="1" applyAlignment="1">
      <alignment horizontal="center" vertical="center"/>
    </xf>
    <xf numFmtId="0" fontId="5" fillId="0" borderId="18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5" fillId="0" borderId="20" xfId="0" applyFont="1" applyBorder="1" applyAlignment="1">
      <alignment horizontal="center" vertical="center"/>
    </xf>
    <xf numFmtId="0" fontId="5" fillId="0" borderId="21" xfId="0" applyFont="1" applyBorder="1" applyAlignment="1">
      <alignment horizontal="center" vertical="center"/>
    </xf>
    <xf numFmtId="0" fontId="5" fillId="0" borderId="22" xfId="0" applyFont="1" applyBorder="1" applyAlignment="1">
      <alignment horizontal="center" vertical="center"/>
    </xf>
    <xf numFmtId="0" fontId="23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20" fillId="0" borderId="19" xfId="0" applyFont="1" applyBorder="1" applyAlignment="1">
      <alignment horizontal="center" vertical="center"/>
    </xf>
    <xf numFmtId="0" fontId="20" fillId="0" borderId="18" xfId="0" applyFont="1" applyBorder="1" applyAlignment="1">
      <alignment horizontal="center" vertical="center"/>
    </xf>
    <xf numFmtId="0" fontId="20" fillId="0" borderId="17" xfId="0" applyFont="1" applyBorder="1" applyAlignment="1">
      <alignment horizontal="center" vertical="center"/>
    </xf>
    <xf numFmtId="0" fontId="20" fillId="0" borderId="20" xfId="0" applyFont="1" applyBorder="1" applyAlignment="1">
      <alignment horizontal="center" vertical="center"/>
    </xf>
    <xf numFmtId="0" fontId="20" fillId="0" borderId="21" xfId="0" applyFont="1" applyBorder="1" applyAlignment="1">
      <alignment horizontal="center" vertical="center"/>
    </xf>
    <xf numFmtId="0" fontId="20" fillId="0" borderId="22" xfId="0" applyFont="1" applyBorder="1" applyAlignment="1">
      <alignment horizontal="center" vertical="center"/>
    </xf>
    <xf numFmtId="0" fontId="19" fillId="0" borderId="23" xfId="0" applyFont="1" applyBorder="1" applyAlignment="1">
      <alignment horizontal="center" vertical="center"/>
    </xf>
    <xf numFmtId="0" fontId="19" fillId="0" borderId="24" xfId="0" applyFont="1" applyBorder="1" applyAlignment="1">
      <alignment horizontal="center" vertical="center"/>
    </xf>
    <xf numFmtId="0" fontId="19" fillId="0" borderId="25" xfId="0" applyFont="1" applyBorder="1" applyAlignment="1">
      <alignment horizontal="center" vertical="center"/>
    </xf>
    <xf numFmtId="0" fontId="32" fillId="0" borderId="5" xfId="0" applyFont="1" applyBorder="1" applyAlignment="1">
      <alignment horizontal="center" vertical="center"/>
    </xf>
    <xf numFmtId="0" fontId="19" fillId="0" borderId="6" xfId="0" applyFont="1" applyBorder="1" applyAlignment="1">
      <alignment horizontal="center" vertical="center"/>
    </xf>
    <xf numFmtId="0" fontId="19" fillId="0" borderId="7" xfId="0" applyFont="1" applyBorder="1" applyAlignment="1">
      <alignment horizontal="center" vertical="center"/>
    </xf>
    <xf numFmtId="0" fontId="19" fillId="0" borderId="14" xfId="0" applyFont="1" applyBorder="1" applyAlignment="1">
      <alignment horizontal="center" vertical="center"/>
    </xf>
    <xf numFmtId="0" fontId="19" fillId="0" borderId="16" xfId="0" applyFont="1" applyBorder="1" applyAlignment="1">
      <alignment horizontal="center" vertical="center"/>
    </xf>
    <xf numFmtId="0" fontId="32" fillId="0" borderId="24" xfId="0" applyFont="1" applyBorder="1" applyAlignment="1">
      <alignment horizontal="center"/>
    </xf>
    <xf numFmtId="0" fontId="23" fillId="0" borderId="24" xfId="0" applyFont="1" applyBorder="1" applyAlignment="1">
      <alignment horizontal="center"/>
    </xf>
    <xf numFmtId="0" fontId="23" fillId="0" borderId="25" xfId="0" applyFont="1" applyBorder="1" applyAlignment="1">
      <alignment horizontal="center"/>
    </xf>
    <xf numFmtId="0" fontId="23" fillId="0" borderId="5" xfId="0" applyFont="1" applyBorder="1" applyAlignment="1">
      <alignment horizontal="center" vertical="center"/>
    </xf>
    <xf numFmtId="0" fontId="23" fillId="0" borderId="6" xfId="0" applyFont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19" fillId="0" borderId="9" xfId="0" applyFont="1" applyBorder="1" applyAlignment="1">
      <alignment horizontal="center" vertical="center"/>
    </xf>
    <xf numFmtId="0" fontId="32" fillId="0" borderId="23" xfId="0" applyFont="1" applyBorder="1" applyAlignment="1">
      <alignment horizontal="center" vertical="center"/>
    </xf>
    <xf numFmtId="0" fontId="23" fillId="0" borderId="23" xfId="0" applyFont="1" applyBorder="1" applyAlignment="1">
      <alignment horizontal="center"/>
    </xf>
    <xf numFmtId="0" fontId="32" fillId="0" borderId="24" xfId="0" applyFont="1" applyBorder="1" applyAlignment="1">
      <alignment horizontal="center" vertical="center"/>
    </xf>
    <xf numFmtId="0" fontId="32" fillId="0" borderId="25" xfId="0" applyFont="1" applyBorder="1" applyAlignment="1">
      <alignment horizontal="center" vertic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13" fillId="0" borderId="5" xfId="0" applyFont="1" applyBorder="1" applyAlignment="1">
      <alignment horizontal="center" vertical="center"/>
    </xf>
    <xf numFmtId="0" fontId="13" fillId="0" borderId="10" xfId="0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6" fillId="0" borderId="4" xfId="0" applyFont="1" applyBorder="1" applyAlignment="1">
      <alignment horizontal="center" vertical="center"/>
    </xf>
    <xf numFmtId="0" fontId="2" fillId="3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horizontal="center" vertical="center" wrapText="1"/>
    </xf>
    <xf numFmtId="0" fontId="3" fillId="3" borderId="3" xfId="0" applyFont="1" applyFill="1" applyBorder="1" applyAlignment="1">
      <alignment horizontal="center" vertical="center" wrapText="1"/>
    </xf>
    <xf numFmtId="0" fontId="3" fillId="3" borderId="4" xfId="0" applyFont="1" applyFill="1" applyBorder="1" applyAlignment="1">
      <alignment horizontal="center" vertical="center" wrapText="1"/>
    </xf>
    <xf numFmtId="0" fontId="24" fillId="0" borderId="0" xfId="0" applyFont="1" applyAlignment="1">
      <alignment horizontal="center"/>
    </xf>
    <xf numFmtId="0" fontId="64" fillId="0" borderId="2" xfId="0" applyFont="1" applyBorder="1" applyAlignment="1">
      <alignment horizontal="center" vertical="center" wrapText="1"/>
    </xf>
    <xf numFmtId="0" fontId="62" fillId="0" borderId="3" xfId="0" applyFont="1" applyBorder="1" applyAlignment="1">
      <alignment horizontal="center" vertical="center" wrapText="1"/>
    </xf>
    <xf numFmtId="0" fontId="62" fillId="0" borderId="4" xfId="0" applyFont="1" applyBorder="1" applyAlignment="1">
      <alignment horizontal="center" vertical="center" wrapText="1"/>
    </xf>
    <xf numFmtId="0" fontId="50" fillId="0" borderId="19" xfId="0" applyFont="1" applyBorder="1" applyAlignment="1">
      <alignment horizontal="center" vertical="center"/>
    </xf>
    <xf numFmtId="0" fontId="50" fillId="0" borderId="20" xfId="0" applyFont="1" applyBorder="1" applyAlignment="1">
      <alignment horizontal="center" vertical="center"/>
    </xf>
    <xf numFmtId="0" fontId="67" fillId="0" borderId="0" xfId="0" applyFont="1" applyAlignment="1">
      <alignment horizontal="center"/>
    </xf>
    <xf numFmtId="0" fontId="75" fillId="0" borderId="0" xfId="0" applyFont="1" applyAlignment="1">
      <alignment horizontal="center" vertical="center"/>
    </xf>
    <xf numFmtId="0" fontId="65" fillId="0" borderId="1" xfId="0" applyFont="1" applyBorder="1" applyAlignment="1">
      <alignment horizontal="center" vertical="center" wrapText="1"/>
    </xf>
    <xf numFmtId="0" fontId="53" fillId="0" borderId="1" xfId="0" applyFont="1" applyBorder="1" applyAlignment="1">
      <alignment horizontal="center" vertical="center"/>
    </xf>
    <xf numFmtId="0" fontId="50" fillId="0" borderId="2" xfId="0" applyFont="1" applyBorder="1" applyAlignment="1">
      <alignment horizontal="center" vertical="center"/>
    </xf>
    <xf numFmtId="0" fontId="87" fillId="0" borderId="0" xfId="0" applyFont="1" applyAlignment="1">
      <alignment horizontal="center" vertical="center"/>
    </xf>
    <xf numFmtId="0" fontId="107" fillId="0" borderId="1" xfId="0" applyFont="1" applyBorder="1" applyAlignment="1">
      <alignment horizontal="center" vertical="center"/>
    </xf>
    <xf numFmtId="9" fontId="107" fillId="0" borderId="1" xfId="0" applyNumberFormat="1" applyFont="1" applyBorder="1" applyAlignment="1">
      <alignment horizontal="center" vertical="center"/>
    </xf>
    <xf numFmtId="0" fontId="107" fillId="0" borderId="19" xfId="0" applyFont="1" applyBorder="1" applyAlignment="1">
      <alignment horizontal="center" vertical="center"/>
    </xf>
    <xf numFmtId="0" fontId="107" fillId="0" borderId="17" xfId="0" applyFont="1" applyBorder="1" applyAlignment="1">
      <alignment horizontal="center" vertical="center"/>
    </xf>
    <xf numFmtId="0" fontId="107" fillId="0" borderId="20" xfId="0" applyFont="1" applyBorder="1" applyAlignment="1">
      <alignment horizontal="center" vertical="center"/>
    </xf>
    <xf numFmtId="0" fontId="107" fillId="0" borderId="22" xfId="0" applyFont="1" applyBorder="1" applyAlignment="1">
      <alignment horizontal="center" vertical="center"/>
    </xf>
    <xf numFmtId="0" fontId="107" fillId="0" borderId="0" xfId="0" applyFont="1" applyAlignment="1">
      <alignment horizontal="center" vertical="center"/>
    </xf>
    <xf numFmtId="0" fontId="107" fillId="0" borderId="26" xfId="0" applyFont="1" applyBorder="1" applyAlignment="1">
      <alignment horizontal="center" vertical="center"/>
    </xf>
    <xf numFmtId="0" fontId="107" fillId="0" borderId="53" xfId="0" applyFont="1" applyBorder="1" applyAlignment="1">
      <alignment horizontal="center" vertical="center"/>
    </xf>
    <xf numFmtId="0" fontId="107" fillId="0" borderId="52" xfId="0" applyFont="1" applyBorder="1" applyAlignment="1">
      <alignment horizontal="center" vertical="center"/>
    </xf>
    <xf numFmtId="0" fontId="113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</cellXfs>
  <cellStyles count="2">
    <cellStyle name="一般" xfId="0" builtinId="0"/>
    <cellStyle name="超連結" xfId="1" builtinId="8"/>
  </cellStyles>
  <dxfs count="0"/>
  <tableStyles count="0" defaultTableStyle="TableStyleMedium2" defaultPivotStyle="PivotStyleLight16"/>
  <colors>
    <mruColors>
      <color rgb="FFFFFFCC"/>
      <color rgb="FFEEE1F7"/>
      <color rgb="FFFDECE3"/>
      <color rgb="FFFFFF9B"/>
      <color rgb="FFFFFFBD"/>
      <color rgb="FFE6D5F3"/>
      <color rgb="FFCDACE6"/>
      <color rgb="FFFFF7E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ctrlProps/ctrlProp1.xml><?xml version="1.0" encoding="utf-8"?>
<formControlPr xmlns="http://schemas.microsoft.com/office/spreadsheetml/2009/9/main" objectType="CheckBox" checked="Checked" fmlaLink="$G$7" lockText="1" noThreeD="1"/>
</file>

<file path=xl/ctrlProps/ctrlProp10.xml><?xml version="1.0" encoding="utf-8"?>
<formControlPr xmlns="http://schemas.microsoft.com/office/spreadsheetml/2009/9/main" objectType="CheckBox" fmlaLink="$G$34" lockText="1" noThreeD="1"/>
</file>

<file path=xl/ctrlProps/ctrlProp11.xml><?xml version="1.0" encoding="utf-8"?>
<formControlPr xmlns="http://schemas.microsoft.com/office/spreadsheetml/2009/9/main" objectType="CheckBox" fmlaLink="$G$35" lockText="1" noThreeD="1"/>
</file>

<file path=xl/ctrlProps/ctrlProp12.xml><?xml version="1.0" encoding="utf-8"?>
<formControlPr xmlns="http://schemas.microsoft.com/office/spreadsheetml/2009/9/main" objectType="CheckBox" fmlaLink="$G$36" lockText="1" noThreeD="1"/>
</file>

<file path=xl/ctrlProps/ctrlProp13.xml><?xml version="1.0" encoding="utf-8"?>
<formControlPr xmlns="http://schemas.microsoft.com/office/spreadsheetml/2009/9/main" objectType="CheckBox" fmlaLink="$G$37" lockText="1" noThreeD="1"/>
</file>

<file path=xl/ctrlProps/ctrlProp14.xml><?xml version="1.0" encoding="utf-8"?>
<formControlPr xmlns="http://schemas.microsoft.com/office/spreadsheetml/2009/9/main" objectType="CheckBox" fmlaLink="$G$30" lockText="1" noThreeD="1"/>
</file>

<file path=xl/ctrlProps/ctrlProp15.xml><?xml version="1.0" encoding="utf-8"?>
<formControlPr xmlns="http://schemas.microsoft.com/office/spreadsheetml/2009/9/main" objectType="CheckBox" checked="Checked" fmlaLink="$G$11" lockText="1" noThreeD="1"/>
</file>

<file path=xl/ctrlProps/ctrlProp16.xml><?xml version="1.0" encoding="utf-8"?>
<formControlPr xmlns="http://schemas.microsoft.com/office/spreadsheetml/2009/9/main" objectType="CheckBox" checked="Checked" fmlaLink="$G$14" lockText="1" noThreeD="1"/>
</file>

<file path=xl/ctrlProps/ctrlProp17.xml><?xml version="1.0" encoding="utf-8"?>
<formControlPr xmlns="http://schemas.microsoft.com/office/spreadsheetml/2009/9/main" objectType="CheckBox" checked="Checked" fmlaLink="$G$15" lockText="1" noThreeD="1"/>
</file>

<file path=xl/ctrlProps/ctrlProp18.xml><?xml version="1.0" encoding="utf-8"?>
<formControlPr xmlns="http://schemas.microsoft.com/office/spreadsheetml/2009/9/main" objectType="CheckBox" checked="Checked" fmlaLink="$G$16" lockText="1" noThreeD="1"/>
</file>

<file path=xl/ctrlProps/ctrlProp19.xml><?xml version="1.0" encoding="utf-8"?>
<formControlPr xmlns="http://schemas.microsoft.com/office/spreadsheetml/2009/9/main" objectType="CheckBox" checked="Checked" fmlaLink="$G$17" lockText="1" noThreeD="1"/>
</file>

<file path=xl/ctrlProps/ctrlProp2.xml><?xml version="1.0" encoding="utf-8"?>
<formControlPr xmlns="http://schemas.microsoft.com/office/spreadsheetml/2009/9/main" objectType="CheckBox" checked="Checked" fmlaLink="$G$8" lockText="1" noThreeD="1"/>
</file>

<file path=xl/ctrlProps/ctrlProp20.xml><?xml version="1.0" encoding="utf-8"?>
<formControlPr xmlns="http://schemas.microsoft.com/office/spreadsheetml/2009/9/main" objectType="CheckBox" checked="Checked" fmlaLink="$G$32" lockText="1" noThreeD="1"/>
</file>

<file path=xl/ctrlProps/ctrlProp21.xml><?xml version="1.0" encoding="utf-8"?>
<formControlPr xmlns="http://schemas.microsoft.com/office/spreadsheetml/2009/9/main" objectType="CheckBox" checked="Checked" fmlaLink="$G$33" lockText="1" noThreeD="1"/>
</file>

<file path=xl/ctrlProps/ctrlProp22.xml><?xml version="1.0" encoding="utf-8"?>
<formControlPr xmlns="http://schemas.microsoft.com/office/spreadsheetml/2009/9/main" objectType="CheckBox" fmlaLink="$G$28" lockText="1" noThreeD="1"/>
</file>

<file path=xl/ctrlProps/ctrlProp23.xml><?xml version="1.0" encoding="utf-8"?>
<formControlPr xmlns="http://schemas.microsoft.com/office/spreadsheetml/2009/9/main" objectType="CheckBox" fmlaLink="$G$26" lockText="1" noThreeD="1"/>
</file>

<file path=xl/ctrlProps/ctrlProp24.xml><?xml version="1.0" encoding="utf-8"?>
<formControlPr xmlns="http://schemas.microsoft.com/office/spreadsheetml/2009/9/main" objectType="CheckBox" fmlaLink="$G$27" lockText="1" noThreeD="1"/>
</file>

<file path=xl/ctrlProps/ctrlProp25.xml><?xml version="1.0" encoding="utf-8"?>
<formControlPr xmlns="http://schemas.microsoft.com/office/spreadsheetml/2009/9/main" objectType="CheckBox" fmlaLink="$G$29" lockText="1" noThreeD="1"/>
</file>

<file path=xl/ctrlProps/ctrlProp3.xml><?xml version="1.0" encoding="utf-8"?>
<formControlPr xmlns="http://schemas.microsoft.com/office/spreadsheetml/2009/9/main" objectType="CheckBox" fmlaLink="$G$19" lockText="1" noThreeD="1"/>
</file>

<file path=xl/ctrlProps/ctrlProp4.xml><?xml version="1.0" encoding="utf-8"?>
<formControlPr xmlns="http://schemas.microsoft.com/office/spreadsheetml/2009/9/main" objectType="CheckBox" fmlaLink="$G$21" lockText="1" noThreeD="1"/>
</file>

<file path=xl/ctrlProps/ctrlProp5.xml><?xml version="1.0" encoding="utf-8"?>
<formControlPr xmlns="http://schemas.microsoft.com/office/spreadsheetml/2009/9/main" objectType="CheckBox" fmlaLink="$G$20" lockText="1" noThreeD="1"/>
</file>

<file path=xl/ctrlProps/ctrlProp6.xml><?xml version="1.0" encoding="utf-8"?>
<formControlPr xmlns="http://schemas.microsoft.com/office/spreadsheetml/2009/9/main" objectType="CheckBox" fmlaLink="$G$22" lockText="1" noThreeD="1"/>
</file>

<file path=xl/ctrlProps/ctrlProp7.xml><?xml version="1.0" encoding="utf-8"?>
<formControlPr xmlns="http://schemas.microsoft.com/office/spreadsheetml/2009/9/main" objectType="CheckBox" fmlaLink="$G$24" lockText="1" noThreeD="1"/>
</file>

<file path=xl/ctrlProps/ctrlProp8.xml><?xml version="1.0" encoding="utf-8"?>
<formControlPr xmlns="http://schemas.microsoft.com/office/spreadsheetml/2009/9/main" objectType="CheckBox" fmlaLink="$G$23" lockText="1" noThreeD="1"/>
</file>

<file path=xl/ctrlProps/ctrlProp9.xml><?xml version="1.0" encoding="utf-8"?>
<formControlPr xmlns="http://schemas.microsoft.com/office/spreadsheetml/2009/9/main" objectType="CheckBox" fmlaLink="$G$25" lockText="1" noThreeD="1"/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10.jpeg"/><Relationship Id="rId13" Type="http://schemas.openxmlformats.org/officeDocument/2006/relationships/image" Target="../media/image15.jpeg"/><Relationship Id="rId18" Type="http://schemas.openxmlformats.org/officeDocument/2006/relationships/image" Target="../media/image20.jpeg"/><Relationship Id="rId26" Type="http://schemas.openxmlformats.org/officeDocument/2006/relationships/image" Target="../media/image28.jpeg"/><Relationship Id="rId3" Type="http://schemas.openxmlformats.org/officeDocument/2006/relationships/image" Target="../media/image5.jpeg"/><Relationship Id="rId21" Type="http://schemas.openxmlformats.org/officeDocument/2006/relationships/image" Target="../media/image23.jpeg"/><Relationship Id="rId7" Type="http://schemas.openxmlformats.org/officeDocument/2006/relationships/image" Target="../media/image9.jpeg"/><Relationship Id="rId12" Type="http://schemas.openxmlformats.org/officeDocument/2006/relationships/image" Target="../media/image14.jpeg"/><Relationship Id="rId17" Type="http://schemas.openxmlformats.org/officeDocument/2006/relationships/image" Target="../media/image19.jpeg"/><Relationship Id="rId25" Type="http://schemas.openxmlformats.org/officeDocument/2006/relationships/image" Target="../media/image27.png"/><Relationship Id="rId2" Type="http://schemas.openxmlformats.org/officeDocument/2006/relationships/image" Target="../media/image4.jpeg"/><Relationship Id="rId16" Type="http://schemas.openxmlformats.org/officeDocument/2006/relationships/image" Target="../media/image18.jpeg"/><Relationship Id="rId20" Type="http://schemas.openxmlformats.org/officeDocument/2006/relationships/image" Target="../media/image22.jpeg"/><Relationship Id="rId1" Type="http://schemas.openxmlformats.org/officeDocument/2006/relationships/image" Target="../media/image3.jpeg"/><Relationship Id="rId6" Type="http://schemas.openxmlformats.org/officeDocument/2006/relationships/image" Target="../media/image8.jpeg"/><Relationship Id="rId11" Type="http://schemas.openxmlformats.org/officeDocument/2006/relationships/image" Target="../media/image13.jpeg"/><Relationship Id="rId24" Type="http://schemas.openxmlformats.org/officeDocument/2006/relationships/image" Target="../media/image26.png"/><Relationship Id="rId5" Type="http://schemas.openxmlformats.org/officeDocument/2006/relationships/image" Target="../media/image7.jpeg"/><Relationship Id="rId15" Type="http://schemas.openxmlformats.org/officeDocument/2006/relationships/image" Target="../media/image17.jpeg"/><Relationship Id="rId23" Type="http://schemas.openxmlformats.org/officeDocument/2006/relationships/image" Target="../media/image25.png"/><Relationship Id="rId10" Type="http://schemas.openxmlformats.org/officeDocument/2006/relationships/image" Target="../media/image12.jpeg"/><Relationship Id="rId19" Type="http://schemas.openxmlformats.org/officeDocument/2006/relationships/image" Target="../media/image21.jpeg"/><Relationship Id="rId4" Type="http://schemas.openxmlformats.org/officeDocument/2006/relationships/image" Target="../media/image6.jpeg"/><Relationship Id="rId9" Type="http://schemas.openxmlformats.org/officeDocument/2006/relationships/image" Target="../media/image11.jpeg"/><Relationship Id="rId14" Type="http://schemas.openxmlformats.org/officeDocument/2006/relationships/image" Target="../media/image16.jpeg"/><Relationship Id="rId22" Type="http://schemas.openxmlformats.org/officeDocument/2006/relationships/image" Target="../media/image24.jpeg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</xdr:colOff>
          <xdr:row>10</xdr:row>
          <xdr:rowOff>180975</xdr:rowOff>
        </xdr:from>
        <xdr:to>
          <xdr:col>10</xdr:col>
          <xdr:colOff>533400</xdr:colOff>
          <xdr:row>12</xdr:row>
          <xdr:rowOff>0</xdr:rowOff>
        </xdr:to>
        <xdr:sp macro="" textlink="">
          <xdr:nvSpPr>
            <xdr:cNvPr id="1030" name="Check Box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457200</xdr:colOff>
          <xdr:row>1</xdr:row>
          <xdr:rowOff>200025</xdr:rowOff>
        </xdr:from>
        <xdr:to>
          <xdr:col>11</xdr:col>
          <xdr:colOff>657225</xdr:colOff>
          <xdr:row>3</xdr:row>
          <xdr:rowOff>0</xdr:rowOff>
        </xdr:to>
        <xdr:sp macro="" textlink="">
          <xdr:nvSpPr>
            <xdr:cNvPr id="1041" name="Check Box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714375</xdr:colOff>
          <xdr:row>43</xdr:row>
          <xdr:rowOff>171450</xdr:rowOff>
        </xdr:from>
        <xdr:to>
          <xdr:col>3</xdr:col>
          <xdr:colOff>914400</xdr:colOff>
          <xdr:row>45</xdr:row>
          <xdr:rowOff>0</xdr:rowOff>
        </xdr:to>
        <xdr:sp macro="" textlink="">
          <xdr:nvSpPr>
            <xdr:cNvPr id="1062" name="Check Box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485775</xdr:colOff>
          <xdr:row>14</xdr:row>
          <xdr:rowOff>180975</xdr:rowOff>
        </xdr:from>
        <xdr:to>
          <xdr:col>2</xdr:col>
          <xdr:colOff>685800</xdr:colOff>
          <xdr:row>16</xdr:row>
          <xdr:rowOff>0</xdr:rowOff>
        </xdr:to>
        <xdr:sp macro="" textlink="">
          <xdr:nvSpPr>
            <xdr:cNvPr id="1068" name="Check Box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</xdr:colOff>
          <xdr:row>12</xdr:row>
          <xdr:rowOff>190500</xdr:rowOff>
        </xdr:from>
        <xdr:to>
          <xdr:col>10</xdr:col>
          <xdr:colOff>533400</xdr:colOff>
          <xdr:row>14</xdr:row>
          <xdr:rowOff>0</xdr:rowOff>
        </xdr:to>
        <xdr:sp macro="" textlink="">
          <xdr:nvSpPr>
            <xdr:cNvPr id="1081" name="Check Box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</xdr:colOff>
          <xdr:row>13</xdr:row>
          <xdr:rowOff>200025</xdr:rowOff>
        </xdr:from>
        <xdr:to>
          <xdr:col>10</xdr:col>
          <xdr:colOff>533400</xdr:colOff>
          <xdr:row>15</xdr:row>
          <xdr:rowOff>9525</xdr:rowOff>
        </xdr:to>
        <xdr:sp macro="" textlink="">
          <xdr:nvSpPr>
            <xdr:cNvPr id="1082" name="Check Box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714375</xdr:colOff>
          <xdr:row>46</xdr:row>
          <xdr:rowOff>190500</xdr:rowOff>
        </xdr:from>
        <xdr:to>
          <xdr:col>3</xdr:col>
          <xdr:colOff>914400</xdr:colOff>
          <xdr:row>48</xdr:row>
          <xdr:rowOff>19050</xdr:rowOff>
        </xdr:to>
        <xdr:sp macro="" textlink="">
          <xdr:nvSpPr>
            <xdr:cNvPr id="1127" name="Check Box 103" hidden="1">
              <a:extLst>
                <a:ext uri="{63B3BB69-23CF-44E3-9099-C40C66FF867C}">
                  <a14:compatExt spid="_x0000_s1127"/>
                </a:ext>
                <a:ext uri="{FF2B5EF4-FFF2-40B4-BE49-F238E27FC236}">
                  <a16:creationId xmlns:a16="http://schemas.microsoft.com/office/drawing/2014/main" id="{00000000-0008-0000-0000-00006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714375</xdr:colOff>
          <xdr:row>47</xdr:row>
          <xdr:rowOff>180975</xdr:rowOff>
        </xdr:from>
        <xdr:to>
          <xdr:col>3</xdr:col>
          <xdr:colOff>914400</xdr:colOff>
          <xdr:row>49</xdr:row>
          <xdr:rowOff>9525</xdr:rowOff>
        </xdr:to>
        <xdr:sp macro="" textlink="">
          <xdr:nvSpPr>
            <xdr:cNvPr id="1128" name="Check Box 104" hidden="1">
              <a:extLst>
                <a:ext uri="{63B3BB69-23CF-44E3-9099-C40C66FF867C}">
                  <a14:compatExt spid="_x0000_s1128"/>
                </a:ext>
                <a:ext uri="{FF2B5EF4-FFF2-40B4-BE49-F238E27FC236}">
                  <a16:creationId xmlns:a16="http://schemas.microsoft.com/office/drawing/2014/main" id="{00000000-0008-0000-0000-00006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714375</xdr:colOff>
          <xdr:row>48</xdr:row>
          <xdr:rowOff>190500</xdr:rowOff>
        </xdr:from>
        <xdr:to>
          <xdr:col>3</xdr:col>
          <xdr:colOff>914400</xdr:colOff>
          <xdr:row>50</xdr:row>
          <xdr:rowOff>38100</xdr:rowOff>
        </xdr:to>
        <xdr:sp macro="" textlink="">
          <xdr:nvSpPr>
            <xdr:cNvPr id="1140" name="Check Box 116" hidden="1">
              <a:extLst>
                <a:ext uri="{63B3BB69-23CF-44E3-9099-C40C66FF867C}">
                  <a14:compatExt spid="_x0000_s1140"/>
                </a:ext>
                <a:ext uri="{FF2B5EF4-FFF2-40B4-BE49-F238E27FC236}">
                  <a16:creationId xmlns:a16="http://schemas.microsoft.com/office/drawing/2014/main" id="{00000000-0008-0000-0000-00007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714375</xdr:colOff>
          <xdr:row>49</xdr:row>
          <xdr:rowOff>180975</xdr:rowOff>
        </xdr:from>
        <xdr:to>
          <xdr:col>3</xdr:col>
          <xdr:colOff>914400</xdr:colOff>
          <xdr:row>51</xdr:row>
          <xdr:rowOff>9525</xdr:rowOff>
        </xdr:to>
        <xdr:sp macro="" textlink="">
          <xdr:nvSpPr>
            <xdr:cNvPr id="1141" name="Check Box 117" hidden="1">
              <a:extLst>
                <a:ext uri="{63B3BB69-23CF-44E3-9099-C40C66FF867C}">
                  <a14:compatExt spid="_x0000_s1141"/>
                </a:ext>
                <a:ext uri="{FF2B5EF4-FFF2-40B4-BE49-F238E27FC236}">
                  <a16:creationId xmlns:a16="http://schemas.microsoft.com/office/drawing/2014/main" id="{00000000-0008-0000-0000-00007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1257300</xdr:colOff>
          <xdr:row>16</xdr:row>
          <xdr:rowOff>200025</xdr:rowOff>
        </xdr:from>
        <xdr:to>
          <xdr:col>3</xdr:col>
          <xdr:colOff>1457325</xdr:colOff>
          <xdr:row>18</xdr:row>
          <xdr:rowOff>0</xdr:rowOff>
        </xdr:to>
        <xdr:sp macro="" textlink="">
          <xdr:nvSpPr>
            <xdr:cNvPr id="1148" name="Check Box 124" hidden="1">
              <a:extLst>
                <a:ext uri="{63B3BB69-23CF-44E3-9099-C40C66FF867C}">
                  <a14:compatExt spid="_x0000_s1148"/>
                </a:ext>
                <a:ext uri="{FF2B5EF4-FFF2-40B4-BE49-F238E27FC236}">
                  <a16:creationId xmlns:a16="http://schemas.microsoft.com/office/drawing/2014/main" id="{00000000-0008-0000-0000-00007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1257300</xdr:colOff>
          <xdr:row>17</xdr:row>
          <xdr:rowOff>190500</xdr:rowOff>
        </xdr:from>
        <xdr:to>
          <xdr:col>3</xdr:col>
          <xdr:colOff>1457325</xdr:colOff>
          <xdr:row>18</xdr:row>
          <xdr:rowOff>209550</xdr:rowOff>
        </xdr:to>
        <xdr:sp macro="" textlink="">
          <xdr:nvSpPr>
            <xdr:cNvPr id="1155" name="Check Box 131" hidden="1">
              <a:extLst>
                <a:ext uri="{63B3BB69-23CF-44E3-9099-C40C66FF867C}">
                  <a14:compatExt spid="_x0000_s1155"/>
                </a:ext>
                <a:ext uri="{FF2B5EF4-FFF2-40B4-BE49-F238E27FC236}">
                  <a16:creationId xmlns:a16="http://schemas.microsoft.com/office/drawing/2014/main" id="{00000000-0008-0000-0000-00008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209550</xdr:colOff>
          <xdr:row>12</xdr:row>
          <xdr:rowOff>190500</xdr:rowOff>
        </xdr:from>
        <xdr:to>
          <xdr:col>14</xdr:col>
          <xdr:colOff>419100</xdr:colOff>
          <xdr:row>14</xdr:row>
          <xdr:rowOff>0</xdr:rowOff>
        </xdr:to>
        <xdr:sp macro="" textlink="">
          <xdr:nvSpPr>
            <xdr:cNvPr id="1157" name="Check Box 133" hidden="1">
              <a:extLst>
                <a:ext uri="{63B3BB69-23CF-44E3-9099-C40C66FF867C}">
                  <a14:compatExt spid="_x0000_s1157"/>
                </a:ext>
                <a:ext uri="{FF2B5EF4-FFF2-40B4-BE49-F238E27FC236}">
                  <a16:creationId xmlns:a16="http://schemas.microsoft.com/office/drawing/2014/main" id="{00000000-0008-0000-0000-00008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209550</xdr:colOff>
          <xdr:row>13</xdr:row>
          <xdr:rowOff>190500</xdr:rowOff>
        </xdr:from>
        <xdr:to>
          <xdr:col>14</xdr:col>
          <xdr:colOff>419100</xdr:colOff>
          <xdr:row>15</xdr:row>
          <xdr:rowOff>0</xdr:rowOff>
        </xdr:to>
        <xdr:sp macro="" textlink="">
          <xdr:nvSpPr>
            <xdr:cNvPr id="1166" name="Check Box 142" hidden="1">
              <a:extLst>
                <a:ext uri="{63B3BB69-23CF-44E3-9099-C40C66FF867C}">
                  <a14:compatExt spid="_x0000_s1166"/>
                </a:ext>
                <a:ext uri="{FF2B5EF4-FFF2-40B4-BE49-F238E27FC236}">
                  <a16:creationId xmlns:a16="http://schemas.microsoft.com/office/drawing/2014/main" id="{00000000-0008-0000-0000-00008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</xdr:colOff>
          <xdr:row>14</xdr:row>
          <xdr:rowOff>200025</xdr:rowOff>
        </xdr:from>
        <xdr:to>
          <xdr:col>10</xdr:col>
          <xdr:colOff>533400</xdr:colOff>
          <xdr:row>16</xdr:row>
          <xdr:rowOff>0</xdr:rowOff>
        </xdr:to>
        <xdr:sp macro="" textlink="">
          <xdr:nvSpPr>
            <xdr:cNvPr id="1167" name="Check Box 143" hidden="1">
              <a:extLst>
                <a:ext uri="{63B3BB69-23CF-44E3-9099-C40C66FF867C}">
                  <a14:compatExt spid="_x0000_s1167"/>
                </a:ext>
                <a:ext uri="{FF2B5EF4-FFF2-40B4-BE49-F238E27FC236}">
                  <a16:creationId xmlns:a16="http://schemas.microsoft.com/office/drawing/2014/main" id="{00000000-0008-0000-0000-00008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209550</xdr:colOff>
          <xdr:row>14</xdr:row>
          <xdr:rowOff>190500</xdr:rowOff>
        </xdr:from>
        <xdr:to>
          <xdr:col>14</xdr:col>
          <xdr:colOff>419100</xdr:colOff>
          <xdr:row>15</xdr:row>
          <xdr:rowOff>209550</xdr:rowOff>
        </xdr:to>
        <xdr:sp macro="" textlink="">
          <xdr:nvSpPr>
            <xdr:cNvPr id="1168" name="Check Box 144" hidden="1">
              <a:extLst>
                <a:ext uri="{63B3BB69-23CF-44E3-9099-C40C66FF867C}">
                  <a14:compatExt spid="_x0000_s1168"/>
                </a:ext>
                <a:ext uri="{FF2B5EF4-FFF2-40B4-BE49-F238E27FC236}">
                  <a16:creationId xmlns:a16="http://schemas.microsoft.com/office/drawing/2014/main" id="{00000000-0008-0000-0000-00009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</xdr:colOff>
          <xdr:row>20</xdr:row>
          <xdr:rowOff>190500</xdr:rowOff>
        </xdr:from>
        <xdr:to>
          <xdr:col>10</xdr:col>
          <xdr:colOff>542925</xdr:colOff>
          <xdr:row>21</xdr:row>
          <xdr:rowOff>209550</xdr:rowOff>
        </xdr:to>
        <xdr:sp macro="" textlink="">
          <xdr:nvSpPr>
            <xdr:cNvPr id="1170" name="Check Box 146" hidden="1">
              <a:extLst>
                <a:ext uri="{63B3BB69-23CF-44E3-9099-C40C66FF867C}">
                  <a14:compatExt spid="_x0000_s1170"/>
                </a:ext>
                <a:ext uri="{FF2B5EF4-FFF2-40B4-BE49-F238E27FC236}">
                  <a16:creationId xmlns:a16="http://schemas.microsoft.com/office/drawing/2014/main" id="{00000000-0008-0000-0000-00009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714375</xdr:colOff>
          <xdr:row>50</xdr:row>
          <xdr:rowOff>190500</xdr:rowOff>
        </xdr:from>
        <xdr:to>
          <xdr:col>3</xdr:col>
          <xdr:colOff>914400</xdr:colOff>
          <xdr:row>52</xdr:row>
          <xdr:rowOff>19050</xdr:rowOff>
        </xdr:to>
        <xdr:sp macro="" textlink="">
          <xdr:nvSpPr>
            <xdr:cNvPr id="1217" name="Check Box 193" hidden="1">
              <a:extLst>
                <a:ext uri="{63B3BB69-23CF-44E3-9099-C40C66FF867C}">
                  <a14:compatExt spid="_x0000_s1217"/>
                </a:ext>
                <a:ext uri="{FF2B5EF4-FFF2-40B4-BE49-F238E27FC236}">
                  <a16:creationId xmlns:a16="http://schemas.microsoft.com/office/drawing/2014/main" id="{00000000-0008-0000-0000-0000C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714375</xdr:colOff>
          <xdr:row>51</xdr:row>
          <xdr:rowOff>200025</xdr:rowOff>
        </xdr:from>
        <xdr:to>
          <xdr:col>3</xdr:col>
          <xdr:colOff>914400</xdr:colOff>
          <xdr:row>53</xdr:row>
          <xdr:rowOff>28575</xdr:rowOff>
        </xdr:to>
        <xdr:sp macro="" textlink="">
          <xdr:nvSpPr>
            <xdr:cNvPr id="1218" name="Check Box 194" hidden="1">
              <a:extLst>
                <a:ext uri="{63B3BB69-23CF-44E3-9099-C40C66FF867C}">
                  <a14:compatExt spid="_x0000_s1218"/>
                </a:ext>
                <a:ext uri="{FF2B5EF4-FFF2-40B4-BE49-F238E27FC236}">
                  <a16:creationId xmlns:a16="http://schemas.microsoft.com/office/drawing/2014/main" id="{00000000-0008-0000-0000-0000C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</xdr:colOff>
          <xdr:row>15</xdr:row>
          <xdr:rowOff>200025</xdr:rowOff>
        </xdr:from>
        <xdr:to>
          <xdr:col>10</xdr:col>
          <xdr:colOff>533400</xdr:colOff>
          <xdr:row>17</xdr:row>
          <xdr:rowOff>0</xdr:rowOff>
        </xdr:to>
        <xdr:sp macro="" textlink="">
          <xdr:nvSpPr>
            <xdr:cNvPr id="1223" name="Check Box 199" hidden="1">
              <a:extLst>
                <a:ext uri="{63B3BB69-23CF-44E3-9099-C40C66FF867C}">
                  <a14:compatExt spid="_x0000_s1223"/>
                </a:ext>
                <a:ext uri="{FF2B5EF4-FFF2-40B4-BE49-F238E27FC236}">
                  <a16:creationId xmlns:a16="http://schemas.microsoft.com/office/drawing/2014/main" id="{00000000-0008-0000-0000-0000C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</xdr:colOff>
          <xdr:row>16</xdr:row>
          <xdr:rowOff>200025</xdr:rowOff>
        </xdr:from>
        <xdr:to>
          <xdr:col>10</xdr:col>
          <xdr:colOff>533400</xdr:colOff>
          <xdr:row>18</xdr:row>
          <xdr:rowOff>0</xdr:rowOff>
        </xdr:to>
        <xdr:sp macro="" textlink="">
          <xdr:nvSpPr>
            <xdr:cNvPr id="1240" name="Check Box 216" hidden="1">
              <a:extLst>
                <a:ext uri="{63B3BB69-23CF-44E3-9099-C40C66FF867C}">
                  <a14:compatExt spid="_x0000_s1240"/>
                </a:ext>
                <a:ext uri="{FF2B5EF4-FFF2-40B4-BE49-F238E27FC236}">
                  <a16:creationId xmlns:a16="http://schemas.microsoft.com/office/drawing/2014/main" id="{00000000-0008-0000-0000-0000D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1257300</xdr:colOff>
          <xdr:row>18</xdr:row>
          <xdr:rowOff>200025</xdr:rowOff>
        </xdr:from>
        <xdr:to>
          <xdr:col>3</xdr:col>
          <xdr:colOff>1457325</xdr:colOff>
          <xdr:row>20</xdr:row>
          <xdr:rowOff>9525</xdr:rowOff>
        </xdr:to>
        <xdr:sp macro="" textlink="">
          <xdr:nvSpPr>
            <xdr:cNvPr id="1241" name="Check Box 217" hidden="1">
              <a:extLst>
                <a:ext uri="{63B3BB69-23CF-44E3-9099-C40C66FF867C}">
                  <a14:compatExt spid="_x0000_s1241"/>
                </a:ext>
                <a:ext uri="{FF2B5EF4-FFF2-40B4-BE49-F238E27FC236}">
                  <a16:creationId xmlns:a16="http://schemas.microsoft.com/office/drawing/2014/main" id="{00000000-0008-0000-0000-0000D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209550</xdr:colOff>
          <xdr:row>16</xdr:row>
          <xdr:rowOff>200025</xdr:rowOff>
        </xdr:from>
        <xdr:to>
          <xdr:col>14</xdr:col>
          <xdr:colOff>419100</xdr:colOff>
          <xdr:row>18</xdr:row>
          <xdr:rowOff>0</xdr:rowOff>
        </xdr:to>
        <xdr:sp macro="" textlink="">
          <xdr:nvSpPr>
            <xdr:cNvPr id="1243" name="Check Box 219" hidden="1">
              <a:extLst>
                <a:ext uri="{63B3BB69-23CF-44E3-9099-C40C66FF867C}">
                  <a14:compatExt spid="_x0000_s1243"/>
                </a:ext>
                <a:ext uri="{FF2B5EF4-FFF2-40B4-BE49-F238E27FC236}">
                  <a16:creationId xmlns:a16="http://schemas.microsoft.com/office/drawing/2014/main" id="{00000000-0008-0000-0000-0000D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</xdr:colOff>
          <xdr:row>18</xdr:row>
          <xdr:rowOff>200025</xdr:rowOff>
        </xdr:from>
        <xdr:to>
          <xdr:col>10</xdr:col>
          <xdr:colOff>533400</xdr:colOff>
          <xdr:row>20</xdr:row>
          <xdr:rowOff>9525</xdr:rowOff>
        </xdr:to>
        <xdr:sp macro="" textlink="">
          <xdr:nvSpPr>
            <xdr:cNvPr id="1244" name="Check Box 220" hidden="1">
              <a:extLst>
                <a:ext uri="{63B3BB69-23CF-44E3-9099-C40C66FF867C}">
                  <a14:compatExt spid="_x0000_s1244"/>
                </a:ext>
                <a:ext uri="{FF2B5EF4-FFF2-40B4-BE49-F238E27FC236}">
                  <a16:creationId xmlns:a16="http://schemas.microsoft.com/office/drawing/2014/main" id="{00000000-0008-0000-0000-0000D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333375</xdr:colOff>
          <xdr:row>20</xdr:row>
          <xdr:rowOff>0</xdr:rowOff>
        </xdr:from>
        <xdr:to>
          <xdr:col>10</xdr:col>
          <xdr:colOff>533400</xdr:colOff>
          <xdr:row>21</xdr:row>
          <xdr:rowOff>19050</xdr:rowOff>
        </xdr:to>
        <xdr:sp macro="" textlink="">
          <xdr:nvSpPr>
            <xdr:cNvPr id="1245" name="Check Box 221" hidden="1">
              <a:extLst>
                <a:ext uri="{63B3BB69-23CF-44E3-9099-C40C66FF867C}">
                  <a14:compatExt spid="_x0000_s1245"/>
                </a:ext>
                <a:ext uri="{FF2B5EF4-FFF2-40B4-BE49-F238E27FC236}">
                  <a16:creationId xmlns:a16="http://schemas.microsoft.com/office/drawing/2014/main" id="{00000000-0008-0000-0000-0000D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346583</xdr:colOff>
      <xdr:row>93</xdr:row>
      <xdr:rowOff>87109</xdr:rowOff>
    </xdr:from>
    <xdr:to>
      <xdr:col>7</xdr:col>
      <xdr:colOff>351718</xdr:colOff>
      <xdr:row>109</xdr:row>
      <xdr:rowOff>163286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27190" y="14850859"/>
          <a:ext cx="3171437" cy="3341892"/>
        </a:xfrm>
        <a:prstGeom prst="rect">
          <a:avLst/>
        </a:prstGeom>
      </xdr:spPr>
    </xdr:pic>
    <xdr:clientData/>
  </xdr:twoCellAnchor>
  <xdr:twoCellAnchor editAs="oneCell">
    <xdr:from>
      <xdr:col>9</xdr:col>
      <xdr:colOff>395646</xdr:colOff>
      <xdr:row>93</xdr:row>
      <xdr:rowOff>60831</xdr:rowOff>
    </xdr:from>
    <xdr:to>
      <xdr:col>28</xdr:col>
      <xdr:colOff>126063</xdr:colOff>
      <xdr:row>113</xdr:row>
      <xdr:rowOff>159047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6932" y="14824581"/>
          <a:ext cx="11850781" cy="418036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5953</xdr:rowOff>
    </xdr:from>
    <xdr:to>
      <xdr:col>3</xdr:col>
      <xdr:colOff>7327</xdr:colOff>
      <xdr:row>2</xdr:row>
      <xdr:rowOff>190500</xdr:rowOff>
    </xdr:to>
    <xdr:cxnSp macro="">
      <xdr:nvCxnSpPr>
        <xdr:cNvPr id="2" name="直線接點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CxnSpPr/>
      </xdr:nvCxnSpPr>
      <xdr:spPr>
        <a:xfrm>
          <a:off x="1143000" y="205978"/>
          <a:ext cx="940777" cy="460772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344874</xdr:colOff>
      <xdr:row>3</xdr:row>
      <xdr:rowOff>119252</xdr:rowOff>
    </xdr:from>
    <xdr:to>
      <xdr:col>4</xdr:col>
      <xdr:colOff>1983325</xdr:colOff>
      <xdr:row>3</xdr:row>
      <xdr:rowOff>693099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08893" y="727387"/>
          <a:ext cx="3191759" cy="5738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ctrlProp" Target="../ctrlProps/ctrlProp5.xml"/><Relationship Id="rId13" Type="http://schemas.openxmlformats.org/officeDocument/2006/relationships/ctrlProp" Target="../ctrlProps/ctrlProp10.xml"/><Relationship Id="rId18" Type="http://schemas.openxmlformats.org/officeDocument/2006/relationships/ctrlProp" Target="../ctrlProps/ctrlProp15.xml"/><Relationship Id="rId26" Type="http://schemas.openxmlformats.org/officeDocument/2006/relationships/ctrlProp" Target="../ctrlProps/ctrlProp23.xml"/><Relationship Id="rId3" Type="http://schemas.openxmlformats.org/officeDocument/2006/relationships/vmlDrawing" Target="../drawings/vmlDrawing1.vml"/><Relationship Id="rId21" Type="http://schemas.openxmlformats.org/officeDocument/2006/relationships/ctrlProp" Target="../ctrlProps/ctrlProp18.xml"/><Relationship Id="rId7" Type="http://schemas.openxmlformats.org/officeDocument/2006/relationships/ctrlProp" Target="../ctrlProps/ctrlProp4.xml"/><Relationship Id="rId12" Type="http://schemas.openxmlformats.org/officeDocument/2006/relationships/ctrlProp" Target="../ctrlProps/ctrlProp9.xml"/><Relationship Id="rId17" Type="http://schemas.openxmlformats.org/officeDocument/2006/relationships/ctrlProp" Target="../ctrlProps/ctrlProp14.xml"/><Relationship Id="rId25" Type="http://schemas.openxmlformats.org/officeDocument/2006/relationships/ctrlProp" Target="../ctrlProps/ctrlProp22.xml"/><Relationship Id="rId2" Type="http://schemas.openxmlformats.org/officeDocument/2006/relationships/drawing" Target="../drawings/drawing1.xml"/><Relationship Id="rId16" Type="http://schemas.openxmlformats.org/officeDocument/2006/relationships/ctrlProp" Target="../ctrlProps/ctrlProp13.xml"/><Relationship Id="rId20" Type="http://schemas.openxmlformats.org/officeDocument/2006/relationships/ctrlProp" Target="../ctrlProps/ctrlProp17.xml"/><Relationship Id="rId29" Type="http://schemas.openxmlformats.org/officeDocument/2006/relationships/comments" Target="../comments1.xml"/><Relationship Id="rId1" Type="http://schemas.openxmlformats.org/officeDocument/2006/relationships/printerSettings" Target="../printerSettings/printerSettings1.bin"/><Relationship Id="rId6" Type="http://schemas.openxmlformats.org/officeDocument/2006/relationships/ctrlProp" Target="../ctrlProps/ctrlProp3.xml"/><Relationship Id="rId11" Type="http://schemas.openxmlformats.org/officeDocument/2006/relationships/ctrlProp" Target="../ctrlProps/ctrlProp8.xml"/><Relationship Id="rId24" Type="http://schemas.openxmlformats.org/officeDocument/2006/relationships/ctrlProp" Target="../ctrlProps/ctrlProp21.xml"/><Relationship Id="rId5" Type="http://schemas.openxmlformats.org/officeDocument/2006/relationships/ctrlProp" Target="../ctrlProps/ctrlProp2.xml"/><Relationship Id="rId15" Type="http://schemas.openxmlformats.org/officeDocument/2006/relationships/ctrlProp" Target="../ctrlProps/ctrlProp12.xml"/><Relationship Id="rId23" Type="http://schemas.openxmlformats.org/officeDocument/2006/relationships/ctrlProp" Target="../ctrlProps/ctrlProp20.xml"/><Relationship Id="rId28" Type="http://schemas.openxmlformats.org/officeDocument/2006/relationships/ctrlProp" Target="../ctrlProps/ctrlProp25.xml"/><Relationship Id="rId10" Type="http://schemas.openxmlformats.org/officeDocument/2006/relationships/ctrlProp" Target="../ctrlProps/ctrlProp7.xml"/><Relationship Id="rId19" Type="http://schemas.openxmlformats.org/officeDocument/2006/relationships/ctrlProp" Target="../ctrlProps/ctrlProp16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Relationship Id="rId14" Type="http://schemas.openxmlformats.org/officeDocument/2006/relationships/ctrlProp" Target="../ctrlProps/ctrlProp11.xml"/><Relationship Id="rId22" Type="http://schemas.openxmlformats.org/officeDocument/2006/relationships/ctrlProp" Target="../ctrlProps/ctrlProp19.xml"/><Relationship Id="rId27" Type="http://schemas.openxmlformats.org/officeDocument/2006/relationships/ctrlProp" Target="../ctrlProps/ctrlProp2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hyperlink" Target="https://forum.gamer.com.tw/C.php?bsn=78614&amp;snA=1228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hyperlink" Target="https://forum.gamer.com.tw/C.php?bsn=78614&amp;snA=1722" TargetMode="External"/><Relationship Id="rId2" Type="http://schemas.openxmlformats.org/officeDocument/2006/relationships/hyperlink" Target="https://forum.gamer.com.tw/Co.php?bsn=78614&amp;sn=7197" TargetMode="External"/><Relationship Id="rId1" Type="http://schemas.openxmlformats.org/officeDocument/2006/relationships/hyperlink" Target="https://forum.gamer.com.tw/C.php?bsn=78614&amp;snA=1228" TargetMode="External"/><Relationship Id="rId5" Type="http://schemas.openxmlformats.org/officeDocument/2006/relationships/hyperlink" Target="https://forum.gamer.com.tw/Co.php?bsn=78614&amp;sn=8752" TargetMode="External"/><Relationship Id="rId4" Type="http://schemas.openxmlformats.org/officeDocument/2006/relationships/hyperlink" Target="https://forum.gamer.com.tw/C.php?bsn=78614&amp;snA=1541" TargetMode="Externa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C5F0D1-4856-4F70-859F-0110B252DEC5}">
  <sheetPr codeName="工作表1"/>
  <dimension ref="B1:AI87"/>
  <sheetViews>
    <sheetView tabSelected="1" zoomScaleNormal="100" workbookViewId="0">
      <selection activeCell="L25" sqref="L25"/>
    </sheetView>
  </sheetViews>
  <sheetFormatPr defaultRowHeight="16.5" x14ac:dyDescent="0.3"/>
  <cols>
    <col min="1" max="1" width="1.28515625" style="10" customWidth="1"/>
    <col min="2" max="2" width="14" style="63" customWidth="1"/>
    <col min="3" max="3" width="18.28515625" style="61" customWidth="1"/>
    <col min="4" max="4" width="25" style="61" customWidth="1"/>
    <col min="5" max="5" width="1" style="61" customWidth="1"/>
    <col min="6" max="6" width="10.42578125" style="61" hidden="1" customWidth="1"/>
    <col min="7" max="7" width="14.7109375" style="61" hidden="1" customWidth="1"/>
    <col min="8" max="8" width="1" style="61" customWidth="1"/>
    <col min="9" max="9" width="9.7109375" style="119" customWidth="1"/>
    <col min="10" max="10" width="10.42578125" style="119" customWidth="1"/>
    <col min="11" max="11" width="14.5703125" style="119" customWidth="1"/>
    <col min="12" max="12" width="17" style="119" customWidth="1"/>
    <col min="13" max="13" width="12.85546875" style="119" customWidth="1"/>
    <col min="14" max="14" width="16.28515625" style="118" customWidth="1"/>
    <col min="15" max="15" width="10.42578125" style="118" customWidth="1"/>
    <col min="16" max="16" width="10.85546875" style="118" customWidth="1"/>
    <col min="17" max="17" width="17.5703125" style="118" customWidth="1"/>
    <col min="18" max="18" width="2" style="10" customWidth="1"/>
    <col min="19" max="19" width="9.140625" style="116"/>
    <col min="20" max="20" width="9.140625" style="116" customWidth="1"/>
    <col min="21" max="21" width="17.42578125" style="114" customWidth="1"/>
    <col min="22" max="22" width="10.85546875" style="116" customWidth="1"/>
    <col min="23" max="26" width="9.42578125" style="10" customWidth="1"/>
    <col min="27" max="27" width="9.140625" style="10" customWidth="1"/>
    <col min="28" max="28" width="12" style="10" customWidth="1"/>
    <col min="29" max="34" width="9.140625" style="10" customWidth="1"/>
    <col min="35" max="16384" width="9.140625" style="10"/>
  </cols>
  <sheetData>
    <row r="1" spans="2:35" ht="8.25" customHeight="1" thickBot="1" x14ac:dyDescent="0.35"/>
    <row r="2" spans="2:35" ht="17.25" thickBot="1" x14ac:dyDescent="0.35">
      <c r="B2" s="424" t="s">
        <v>239</v>
      </c>
      <c r="C2" s="221" t="s">
        <v>55</v>
      </c>
      <c r="D2" s="222">
        <v>60</v>
      </c>
      <c r="F2" s="62" t="s">
        <v>164</v>
      </c>
      <c r="G2" s="62" t="s">
        <v>146</v>
      </c>
      <c r="I2" s="437" t="s">
        <v>242</v>
      </c>
      <c r="J2" s="440"/>
      <c r="K2" s="441"/>
      <c r="L2" s="441"/>
      <c r="M2" s="120" t="s">
        <v>361</v>
      </c>
      <c r="N2" s="120" t="s">
        <v>245</v>
      </c>
      <c r="O2" s="120" t="s">
        <v>134</v>
      </c>
      <c r="P2" s="120" t="s">
        <v>135</v>
      </c>
      <c r="Q2" s="121" t="s">
        <v>362</v>
      </c>
      <c r="S2" s="460" t="s">
        <v>369</v>
      </c>
      <c r="T2" s="463" t="s">
        <v>9</v>
      </c>
      <c r="U2" s="463"/>
      <c r="V2" s="300">
        <f>計算過程!BP11</f>
        <v>933</v>
      </c>
      <c r="W2" s="301"/>
      <c r="X2" s="301"/>
      <c r="Y2" s="301"/>
      <c r="Z2" s="302"/>
      <c r="AC2" s="298">
        <f>IF(W2="", V2, W2)</f>
        <v>933</v>
      </c>
      <c r="AD2" s="298">
        <f>IF(X2="", V2, X2)</f>
        <v>933</v>
      </c>
      <c r="AE2" s="298">
        <f>IF(Y2="", V2, Y2)</f>
        <v>933</v>
      </c>
      <c r="AF2" s="298">
        <f>IF(Z2="", V2, Z2)</f>
        <v>933</v>
      </c>
    </row>
    <row r="3" spans="2:35" x14ac:dyDescent="0.3">
      <c r="B3" s="425"/>
      <c r="C3" s="60" t="s">
        <v>14</v>
      </c>
      <c r="D3" s="223" t="s">
        <v>653</v>
      </c>
      <c r="F3" s="61" t="s">
        <v>165</v>
      </c>
      <c r="G3" s="211" t="str">
        <f>VLOOKUP(D3,角色與等級!B4:AS78, 44,FALSE)</f>
        <v>砍擊</v>
      </c>
      <c r="I3" s="438"/>
      <c r="J3" s="442" t="s">
        <v>4</v>
      </c>
      <c r="K3" s="122" t="s">
        <v>227</v>
      </c>
      <c r="L3" s="204"/>
      <c r="M3" s="434">
        <v>5</v>
      </c>
      <c r="N3" s="204" t="s">
        <v>656</v>
      </c>
      <c r="O3" s="122">
        <f>IF(首頁!N3="", "", VLOOKUP(首頁!N3, 潛能數據!C4:D14, 2, FALSE))</f>
        <v>35</v>
      </c>
      <c r="P3" s="122">
        <f>IF(首頁!N3="", "", VLOOKUP(首頁!O3, 潛能數據!D4:E14, 2, FALSE))</f>
        <v>80</v>
      </c>
      <c r="Q3" s="207"/>
      <c r="S3" s="461"/>
      <c r="T3" s="410" t="s">
        <v>12</v>
      </c>
      <c r="U3" s="410"/>
      <c r="V3" s="287">
        <f>計算過程!BP28</f>
        <v>152</v>
      </c>
      <c r="W3" s="303"/>
      <c r="X3" s="303"/>
      <c r="Y3" s="303"/>
      <c r="Z3" s="303"/>
      <c r="AC3" s="298">
        <f>IF(W3="", V3, W3)</f>
        <v>152</v>
      </c>
      <c r="AD3" s="298">
        <f>IF(X3="", V3, X3)</f>
        <v>152</v>
      </c>
      <c r="AE3" s="298">
        <f>IF(Y3="", V3, Y3)</f>
        <v>152</v>
      </c>
      <c r="AF3" s="298">
        <f>IF(Z3="", V3, Z3)</f>
        <v>152</v>
      </c>
    </row>
    <row r="4" spans="2:35" ht="17.25" thickBot="1" x14ac:dyDescent="0.35">
      <c r="B4" s="426"/>
      <c r="C4" s="393" t="s">
        <v>54</v>
      </c>
      <c r="D4" s="394">
        <v>5</v>
      </c>
      <c r="F4" s="61" t="s">
        <v>166</v>
      </c>
      <c r="G4" s="211" t="str">
        <f>VLOOKUP(D3,角色與等級!B4:AS78, 43,FALSE)</f>
        <v>土</v>
      </c>
      <c r="I4" s="438"/>
      <c r="J4" s="443"/>
      <c r="K4" s="123" t="s">
        <v>226</v>
      </c>
      <c r="L4" s="205"/>
      <c r="M4" s="435"/>
      <c r="N4" s="205" t="s">
        <v>693</v>
      </c>
      <c r="O4" s="123">
        <f>IF(首頁!N4="", "", VLOOKUP(首頁!N4, 潛能數據!C4:D14, 2, FALSE))</f>
        <v>11</v>
      </c>
      <c r="P4" s="123">
        <f>IF(首頁!N4="", "", VLOOKUP(首頁!O4, 潛能數據!D4:E14, 2, FALSE))</f>
        <v>20</v>
      </c>
      <c r="Q4" s="208"/>
      <c r="S4" s="461"/>
      <c r="T4" s="409" t="s">
        <v>7</v>
      </c>
      <c r="U4" s="410"/>
      <c r="V4" s="287">
        <f>計算過程!BQ11</f>
        <v>2351</v>
      </c>
      <c r="W4" s="280"/>
      <c r="X4" s="280"/>
      <c r="Y4" s="280"/>
      <c r="Z4" s="306"/>
      <c r="AC4" s="280">
        <f>ROUNDDOWN(AC2*(100+AC3)%, 0)</f>
        <v>2351</v>
      </c>
      <c r="AD4" s="280">
        <f t="shared" ref="AD4:AF4" si="0">ROUNDDOWN(AD2*(100+AD3)%, 0)</f>
        <v>2351</v>
      </c>
      <c r="AE4" s="280">
        <f t="shared" si="0"/>
        <v>2351</v>
      </c>
      <c r="AF4" s="280">
        <f t="shared" si="0"/>
        <v>2351</v>
      </c>
    </row>
    <row r="5" spans="2:35" ht="17.25" thickBot="1" x14ac:dyDescent="0.35">
      <c r="B5" s="480" t="s">
        <v>240</v>
      </c>
      <c r="C5" s="247" t="s">
        <v>50</v>
      </c>
      <c r="D5" s="248" t="s">
        <v>694</v>
      </c>
      <c r="F5" s="61" t="s">
        <v>167</v>
      </c>
      <c r="G5" s="211" t="str">
        <f>VLOOKUP(K5,套裝!W6:X28, 2,FALSE)</f>
        <v>通用</v>
      </c>
      <c r="I5" s="438"/>
      <c r="J5" s="124" t="s">
        <v>41</v>
      </c>
      <c r="K5" s="231" t="s">
        <v>690</v>
      </c>
      <c r="L5" s="125"/>
      <c r="M5" s="431"/>
      <c r="N5" s="432"/>
      <c r="O5" s="432"/>
      <c r="P5" s="432"/>
      <c r="Q5" s="433"/>
      <c r="S5" s="461"/>
      <c r="T5" s="413" t="s">
        <v>350</v>
      </c>
      <c r="U5" s="413"/>
      <c r="V5" s="287">
        <f>計算過程!BP30</f>
        <v>15</v>
      </c>
      <c r="W5" s="303"/>
      <c r="X5" s="303"/>
      <c r="Y5" s="303"/>
      <c r="Z5" s="304"/>
      <c r="AC5" s="298">
        <f>IF(W5="", V5, W5)</f>
        <v>15</v>
      </c>
      <c r="AD5" s="298">
        <f>IF(X5="", V5, X5)</f>
        <v>15</v>
      </c>
      <c r="AE5" s="298">
        <f>IF(Y5="", V5, Y5)</f>
        <v>15</v>
      </c>
      <c r="AF5" s="298">
        <f>IF(Z5="", V5, Z5)</f>
        <v>15</v>
      </c>
    </row>
    <row r="6" spans="2:35" x14ac:dyDescent="0.3">
      <c r="B6" s="481"/>
      <c r="C6" s="60" t="s">
        <v>256</v>
      </c>
      <c r="D6" s="249">
        <v>5</v>
      </c>
      <c r="G6" s="211"/>
      <c r="I6" s="438"/>
      <c r="J6" s="442" t="s">
        <v>81</v>
      </c>
      <c r="K6" s="427"/>
      <c r="L6" s="428"/>
      <c r="M6" s="434">
        <v>5</v>
      </c>
      <c r="N6" s="204" t="s">
        <v>691</v>
      </c>
      <c r="O6" s="122">
        <f>IF(首頁!N6="", "", VLOOKUP(首頁!N6, 潛能數據!G4:H14, 2, FALSE))</f>
        <v>13.75</v>
      </c>
      <c r="P6" s="122">
        <f>IF(首頁!N6="", "", VLOOKUP(首頁!O6, 潛能數據!H4:I14, 2, FALSE))</f>
        <v>25</v>
      </c>
      <c r="Q6" s="207"/>
      <c r="S6" s="461"/>
      <c r="T6" s="411" t="s">
        <v>444</v>
      </c>
      <c r="U6" s="219" t="s">
        <v>427</v>
      </c>
      <c r="V6" s="287">
        <v>1</v>
      </c>
      <c r="W6" s="280"/>
      <c r="X6" s="280"/>
      <c r="Y6" s="280"/>
      <c r="Z6" s="306"/>
      <c r="AC6" s="299"/>
      <c r="AD6" s="299"/>
      <c r="AE6" s="299"/>
      <c r="AF6" s="299"/>
    </row>
    <row r="7" spans="2:35" ht="17.25" thickBot="1" x14ac:dyDescent="0.35">
      <c r="B7" s="481"/>
      <c r="C7" s="60" t="s">
        <v>64</v>
      </c>
      <c r="D7" s="250">
        <f>IF(首頁!D5="", 0,VLOOKUP(首頁!D5,法寶卡!T4:U953,2,FALSE))</f>
        <v>0</v>
      </c>
      <c r="F7" s="61" t="s">
        <v>170</v>
      </c>
      <c r="G7" s="211" t="b">
        <v>1</v>
      </c>
      <c r="I7" s="438"/>
      <c r="J7" s="443"/>
      <c r="K7" s="429"/>
      <c r="L7" s="430"/>
      <c r="M7" s="435"/>
      <c r="N7" s="205" t="s">
        <v>691</v>
      </c>
      <c r="O7" s="123">
        <f>IF(首頁!N7="", "", VLOOKUP(首頁!N7, 潛能數據!G4:H14, 2, FALSE))</f>
        <v>13.75</v>
      </c>
      <c r="P7" s="123">
        <f>IF(首頁!N7="", "", VLOOKUP(首頁!O7, 潛能數據!H4:I14, 2, FALSE))</f>
        <v>25</v>
      </c>
      <c r="Q7" s="208"/>
      <c r="S7" s="461"/>
      <c r="T7" s="412"/>
      <c r="U7" s="219" t="s">
        <v>428</v>
      </c>
      <c r="V7" s="287">
        <f>計算過程!BP50</f>
        <v>0</v>
      </c>
      <c r="W7" s="280"/>
      <c r="X7" s="280"/>
      <c r="Y7" s="280"/>
      <c r="Z7" s="306"/>
      <c r="AC7" s="299"/>
      <c r="AD7" s="299"/>
      <c r="AE7" s="299"/>
      <c r="AF7" s="299"/>
    </row>
    <row r="8" spans="2:35" ht="17.25" thickBot="1" x14ac:dyDescent="0.35">
      <c r="B8" s="468"/>
      <c r="C8" s="253" t="s">
        <v>255</v>
      </c>
      <c r="D8" s="252"/>
      <c r="F8" s="61" t="s">
        <v>168</v>
      </c>
      <c r="G8" s="211" t="b">
        <v>1</v>
      </c>
      <c r="I8" s="438"/>
      <c r="J8" s="442" t="s">
        <v>82</v>
      </c>
      <c r="K8" s="427"/>
      <c r="L8" s="428"/>
      <c r="M8" s="434">
        <v>5</v>
      </c>
      <c r="N8" s="204" t="s">
        <v>622</v>
      </c>
      <c r="O8" s="122">
        <f>IF(首頁!N8="", "", VLOOKUP(首頁!N8, 潛能數據!K4:L14, 2, FALSE))</f>
        <v>8.25</v>
      </c>
      <c r="P8" s="122">
        <f>IF(首頁!N8="", "", VLOOKUP(首頁!O8, 潛能數據!L4:M14, 2, FALSE))</f>
        <v>15</v>
      </c>
      <c r="Q8" s="207"/>
      <c r="S8" s="461"/>
      <c r="T8" s="412"/>
      <c r="U8" s="219" t="s">
        <v>438</v>
      </c>
      <c r="V8" s="287">
        <f>V6*(100+V7)%</f>
        <v>1</v>
      </c>
      <c r="W8" s="310"/>
      <c r="X8" s="310"/>
      <c r="Y8" s="310"/>
      <c r="Z8" s="311"/>
      <c r="AC8" s="298">
        <f>IF(W8="", V8, W8)</f>
        <v>1</v>
      </c>
      <c r="AD8" s="298">
        <f>IF(X8="", V8, X8)</f>
        <v>1</v>
      </c>
      <c r="AE8" s="298">
        <f>IF(Y8="", V8, Y8)</f>
        <v>1</v>
      </c>
      <c r="AF8" s="298">
        <f>IF(Z8="", V8, Z8)</f>
        <v>1</v>
      </c>
    </row>
    <row r="9" spans="2:35" ht="17.25" thickBot="1" x14ac:dyDescent="0.35">
      <c r="B9" s="395"/>
      <c r="F9" s="61" t="s">
        <v>64</v>
      </c>
      <c r="G9" s="61">
        <f>IF(首頁!D5="", 0,VLOOKUP(首頁!D5,法寶卡!T4:U953,2,FALSE))</f>
        <v>0</v>
      </c>
      <c r="I9" s="438"/>
      <c r="J9" s="443"/>
      <c r="K9" s="429"/>
      <c r="L9" s="430"/>
      <c r="M9" s="435"/>
      <c r="N9" s="205" t="s">
        <v>622</v>
      </c>
      <c r="O9" s="123">
        <f>IF(首頁!N9="", "", VLOOKUP(首頁!N9, 潛能數據!K4:L14, 2, FALSE))</f>
        <v>8.25</v>
      </c>
      <c r="P9" s="123">
        <f>IF(首頁!N9="", "", VLOOKUP(首頁!O9, 潛能數據!L4:M14, 2, FALSE))</f>
        <v>15</v>
      </c>
      <c r="Q9" s="208"/>
      <c r="S9" s="461"/>
      <c r="T9" s="412"/>
      <c r="U9" s="219" t="s">
        <v>432</v>
      </c>
      <c r="V9" s="287">
        <f>計算過程!BP32</f>
        <v>97.5</v>
      </c>
      <c r="W9" s="310"/>
      <c r="X9" s="310"/>
      <c r="Y9" s="310"/>
      <c r="Z9" s="311"/>
      <c r="AC9" s="298">
        <f>IF(W9="", V9, W9)</f>
        <v>97.5</v>
      </c>
      <c r="AD9" s="298">
        <f>IF(X9="", V9, X9)</f>
        <v>97.5</v>
      </c>
      <c r="AE9" s="298">
        <f>IF(Y9="", V9, Y9)</f>
        <v>97.5</v>
      </c>
      <c r="AF9" s="298">
        <f>IF(Z9="", V9, Z9)</f>
        <v>97.5</v>
      </c>
    </row>
    <row r="10" spans="2:35" x14ac:dyDescent="0.3">
      <c r="G10" s="211"/>
      <c r="I10" s="438"/>
      <c r="J10" s="453" t="s">
        <v>83</v>
      </c>
      <c r="K10" s="427"/>
      <c r="L10" s="428"/>
      <c r="M10" s="434">
        <v>5</v>
      </c>
      <c r="N10" s="204" t="s">
        <v>622</v>
      </c>
      <c r="O10" s="122">
        <f>IF(首頁!N10="", "", VLOOKUP(首頁!N10, 潛能數據!O4:P14, 2, FALSE))</f>
        <v>8.25</v>
      </c>
      <c r="P10" s="122">
        <f>IF(首頁!N10="", "", VLOOKUP(首頁!O10, 潛能數據!P4:Q14, 2, FALSE))</f>
        <v>15</v>
      </c>
      <c r="Q10" s="207"/>
      <c r="S10" s="461"/>
      <c r="T10" s="412"/>
      <c r="U10" s="219" t="s">
        <v>433</v>
      </c>
      <c r="V10" s="287">
        <f>計算過程!BP34</f>
        <v>340</v>
      </c>
      <c r="W10" s="310"/>
      <c r="X10" s="310"/>
      <c r="Y10" s="310"/>
      <c r="Z10" s="311"/>
      <c r="AC10" s="298">
        <f>IF(W10="", V10, W10)</f>
        <v>340</v>
      </c>
      <c r="AD10" s="298">
        <f>IF(X10="", V10, X10)</f>
        <v>340</v>
      </c>
      <c r="AE10" s="298">
        <f>IF(Y10="", V10, Y10)</f>
        <v>340</v>
      </c>
      <c r="AF10" s="298">
        <f>IF(Z10="", V10, Z10)</f>
        <v>340</v>
      </c>
      <c r="AH10" s="219" t="s">
        <v>10</v>
      </c>
      <c r="AI10" s="11">
        <v>100</v>
      </c>
    </row>
    <row r="11" spans="2:35" ht="15.75" customHeight="1" thickBot="1" x14ac:dyDescent="0.35">
      <c r="F11" s="61" t="s">
        <v>241</v>
      </c>
      <c r="G11" s="211" t="b">
        <v>1</v>
      </c>
      <c r="I11" s="438"/>
      <c r="J11" s="454"/>
      <c r="K11" s="429"/>
      <c r="L11" s="430"/>
      <c r="M11" s="435"/>
      <c r="N11" s="380" t="s">
        <v>622</v>
      </c>
      <c r="O11" s="123">
        <f>IF(首頁!N11="", "", VLOOKUP(首頁!N11, 潛能數據!O4:P14, 2, FALSE))</f>
        <v>8.25</v>
      </c>
      <c r="P11" s="123">
        <f>IF(首頁!N11="", "", VLOOKUP(首頁!O11, 潛能數據!P4:Q14, 2, FALSE))</f>
        <v>15</v>
      </c>
      <c r="Q11" s="208"/>
      <c r="S11" s="461"/>
      <c r="T11" s="411" t="s">
        <v>445</v>
      </c>
      <c r="U11" s="219" t="s">
        <v>429</v>
      </c>
      <c r="V11" s="287">
        <v>1</v>
      </c>
      <c r="W11" s="280"/>
      <c r="X11" s="280"/>
      <c r="Y11" s="280"/>
      <c r="Z11" s="306"/>
      <c r="AC11" s="299"/>
      <c r="AD11" s="299"/>
      <c r="AE11" s="299"/>
      <c r="AF11" s="299"/>
    </row>
    <row r="12" spans="2:35" ht="17.25" thickBot="1" x14ac:dyDescent="0.35">
      <c r="I12" s="439"/>
      <c r="J12" s="126" t="s">
        <v>243</v>
      </c>
      <c r="K12" s="206"/>
      <c r="L12" s="431"/>
      <c r="M12" s="432"/>
      <c r="N12" s="432"/>
      <c r="O12" s="432"/>
      <c r="P12" s="432"/>
      <c r="Q12" s="433"/>
      <c r="S12" s="461"/>
      <c r="T12" s="413"/>
      <c r="U12" s="219" t="s">
        <v>430</v>
      </c>
      <c r="V12" s="287">
        <f>計算過程!BP52</f>
        <v>0</v>
      </c>
      <c r="W12" s="280"/>
      <c r="X12" s="280"/>
      <c r="Y12" s="280"/>
      <c r="Z12" s="306"/>
      <c r="AC12" s="299"/>
      <c r="AD12" s="299"/>
      <c r="AE12" s="299"/>
      <c r="AF12" s="299"/>
    </row>
    <row r="13" spans="2:35" ht="17.25" thickBot="1" x14ac:dyDescent="0.35">
      <c r="N13" s="119"/>
      <c r="O13" s="119"/>
      <c r="S13" s="461"/>
      <c r="T13" s="413"/>
      <c r="U13" s="219" t="s">
        <v>431</v>
      </c>
      <c r="V13" s="287">
        <f>V11*(100+V12)%</f>
        <v>1</v>
      </c>
      <c r="W13" s="310"/>
      <c r="X13" s="310"/>
      <c r="Y13" s="310"/>
      <c r="Z13" s="311"/>
      <c r="AC13" s="298">
        <f>IF(W13="", V13, W13)</f>
        <v>1</v>
      </c>
      <c r="AD13" s="298">
        <f>IF(X13="", V13, X13)</f>
        <v>1</v>
      </c>
      <c r="AE13" s="298">
        <f>IF(Y13="", V13, Y13)</f>
        <v>1</v>
      </c>
      <c r="AF13" s="298">
        <f>IF(Z13="", V13, Z13)</f>
        <v>1</v>
      </c>
    </row>
    <row r="14" spans="2:35" ht="16.5" customHeight="1" x14ac:dyDescent="0.3">
      <c r="B14" s="424" t="s">
        <v>234</v>
      </c>
      <c r="C14" s="221" t="s">
        <v>222</v>
      </c>
      <c r="D14" s="225" t="s">
        <v>212</v>
      </c>
      <c r="F14" s="61" t="s">
        <v>318</v>
      </c>
      <c r="G14" s="61" t="b">
        <v>1</v>
      </c>
      <c r="I14" s="469" t="s">
        <v>583</v>
      </c>
      <c r="J14" s="289" t="s">
        <v>379</v>
      </c>
      <c r="K14" s="357"/>
      <c r="L14" s="289" t="s">
        <v>398</v>
      </c>
      <c r="M14" s="357"/>
      <c r="N14" s="371" t="s">
        <v>587</v>
      </c>
      <c r="O14" s="357"/>
      <c r="P14" s="358"/>
      <c r="Q14" s="359"/>
      <c r="S14" s="461"/>
      <c r="T14" s="413"/>
      <c r="U14" s="219" t="s">
        <v>434</v>
      </c>
      <c r="V14" s="287">
        <f>計算過程!BP32+計算過程!BP54</f>
        <v>97.5</v>
      </c>
      <c r="W14" s="310"/>
      <c r="X14" s="310"/>
      <c r="Y14" s="310"/>
      <c r="Z14" s="311"/>
      <c r="AC14" s="298">
        <f>IF(W14="", V14, W14)</f>
        <v>97.5</v>
      </c>
      <c r="AD14" s="298">
        <f>IF(X14="", V14, X14)</f>
        <v>97.5</v>
      </c>
      <c r="AE14" s="298">
        <f>IF(Y14="", V14, Y14)</f>
        <v>97.5</v>
      </c>
      <c r="AF14" s="298">
        <f>IF(Z14="", V14, Z14)</f>
        <v>97.5</v>
      </c>
    </row>
    <row r="15" spans="2:35" ht="17.25" thickBot="1" x14ac:dyDescent="0.35">
      <c r="B15" s="436"/>
      <c r="C15" s="224" t="s">
        <v>53</v>
      </c>
      <c r="D15" s="226">
        <f>IF(D14="", "", VLOOKUP(首頁!D14,敵人防禦及狀態!B3:D24,2,FALSE))</f>
        <v>1000</v>
      </c>
      <c r="F15" s="61" t="s">
        <v>319</v>
      </c>
      <c r="G15" s="61" t="b">
        <v>1</v>
      </c>
      <c r="I15" s="470"/>
      <c r="J15" s="280" t="s">
        <v>380</v>
      </c>
      <c r="K15" s="303"/>
      <c r="L15" s="280" t="s">
        <v>408</v>
      </c>
      <c r="M15" s="303"/>
      <c r="N15" s="352" t="s">
        <v>585</v>
      </c>
      <c r="O15" s="313"/>
      <c r="P15" s="348"/>
      <c r="Q15" s="360"/>
      <c r="S15" s="461"/>
      <c r="T15" s="413"/>
      <c r="U15" s="219" t="s">
        <v>435</v>
      </c>
      <c r="V15" s="287">
        <f>計算過程!BP34+計算過程!BP56</f>
        <v>340</v>
      </c>
      <c r="W15" s="310"/>
      <c r="X15" s="310"/>
      <c r="Y15" s="310"/>
      <c r="Z15" s="311"/>
      <c r="AC15" s="298">
        <f>IF(W15="", V15, W15)</f>
        <v>340</v>
      </c>
      <c r="AD15" s="298">
        <f>IF(X15="", V15, X15)</f>
        <v>340</v>
      </c>
      <c r="AE15" s="298">
        <f>IF(Y15="", V15, Y15)</f>
        <v>340</v>
      </c>
      <c r="AF15" s="298">
        <f>IF(Z15="", V15, Z15)</f>
        <v>340</v>
      </c>
    </row>
    <row r="16" spans="2:35" ht="17.25" thickBot="1" x14ac:dyDescent="0.35">
      <c r="B16" s="227" t="s">
        <v>248</v>
      </c>
      <c r="C16" s="228"/>
      <c r="D16" s="346"/>
      <c r="F16" s="61" t="s">
        <v>320</v>
      </c>
      <c r="G16" s="61" t="b">
        <v>1</v>
      </c>
      <c r="I16" s="470"/>
      <c r="J16" s="280" t="s">
        <v>381</v>
      </c>
      <c r="K16" s="303"/>
      <c r="L16" s="399" t="s">
        <v>649</v>
      </c>
      <c r="M16" s="303"/>
      <c r="N16" s="280" t="s">
        <v>501</v>
      </c>
      <c r="O16" s="313"/>
      <c r="P16" s="299"/>
      <c r="Q16" s="361"/>
      <c r="S16" s="461"/>
      <c r="T16" s="411" t="s">
        <v>446</v>
      </c>
      <c r="U16" s="219" t="s">
        <v>425</v>
      </c>
      <c r="V16" s="287"/>
      <c r="W16" s="280"/>
      <c r="X16" s="280"/>
      <c r="Y16" s="280"/>
      <c r="Z16" s="306"/>
      <c r="AC16" s="299"/>
      <c r="AD16" s="299"/>
      <c r="AE16" s="299"/>
      <c r="AF16" s="299"/>
    </row>
    <row r="17" spans="2:32" ht="17.25" thickBot="1" x14ac:dyDescent="0.35">
      <c r="F17" s="61" t="s">
        <v>321</v>
      </c>
      <c r="G17" s="61" t="b">
        <v>1</v>
      </c>
      <c r="I17" s="470"/>
      <c r="J17" s="280" t="s">
        <v>500</v>
      </c>
      <c r="K17" s="347"/>
      <c r="L17" s="343" t="s">
        <v>513</v>
      </c>
      <c r="M17" s="347"/>
      <c r="N17" s="343" t="s">
        <v>510</v>
      </c>
      <c r="O17" s="347"/>
      <c r="P17" s="343" t="s">
        <v>509</v>
      </c>
      <c r="Q17" s="362"/>
      <c r="S17" s="461"/>
      <c r="T17" s="413"/>
      <c r="U17" s="219" t="s">
        <v>426</v>
      </c>
      <c r="V17" s="287">
        <f>計算過程!BP58</f>
        <v>0</v>
      </c>
      <c r="W17" s="280"/>
      <c r="X17" s="280"/>
      <c r="Y17" s="280"/>
      <c r="Z17" s="306"/>
      <c r="AC17" s="299"/>
      <c r="AD17" s="299"/>
      <c r="AE17" s="299"/>
      <c r="AF17" s="299"/>
    </row>
    <row r="18" spans="2:32" ht="17.25" thickBot="1" x14ac:dyDescent="0.35">
      <c r="B18" s="474" t="s">
        <v>364</v>
      </c>
      <c r="C18" s="122" t="s">
        <v>92</v>
      </c>
      <c r="D18" s="353" t="s">
        <v>360</v>
      </c>
      <c r="I18" s="471"/>
      <c r="J18" s="363" t="s">
        <v>561</v>
      </c>
      <c r="K18" s="364"/>
      <c r="L18" s="365" t="s">
        <v>572</v>
      </c>
      <c r="M18" s="364"/>
      <c r="N18" s="366" t="s">
        <v>577</v>
      </c>
      <c r="O18" s="367"/>
      <c r="P18" s="368"/>
      <c r="Q18" s="369"/>
      <c r="S18" s="461"/>
      <c r="T18" s="413"/>
      <c r="U18" s="219" t="s">
        <v>424</v>
      </c>
      <c r="V18" s="287"/>
      <c r="W18" s="310"/>
      <c r="X18" s="310"/>
      <c r="Y18" s="310"/>
      <c r="Z18" s="311"/>
      <c r="AC18" s="298">
        <f>IF(W18="", V18, W18)</f>
        <v>0</v>
      </c>
      <c r="AD18" s="298">
        <f>IF(X18="", V18, X18)</f>
        <v>0</v>
      </c>
      <c r="AE18" s="298">
        <f>IF(Y18="", V18, Y18)</f>
        <v>0</v>
      </c>
      <c r="AF18" s="298">
        <f>IF(Z18="", V18, Z18)</f>
        <v>0</v>
      </c>
    </row>
    <row r="19" spans="2:32" ht="17.25" thickBot="1" x14ac:dyDescent="0.35">
      <c r="B19" s="475"/>
      <c r="C19" s="117" t="s">
        <v>363</v>
      </c>
      <c r="D19" s="354" t="s">
        <v>360</v>
      </c>
      <c r="F19" s="61" t="s">
        <v>274</v>
      </c>
      <c r="G19" s="61" t="b">
        <v>0</v>
      </c>
      <c r="K19" s="119" t="str">
        <f>IF(AND(首頁!G25=TRUE, 首頁!Q17="火"),
   IF(AND(首頁!O17&lt;&gt;"", 首頁!M17&lt;&gt;""),
      首頁!O17 * (100 + 首頁!M17) / 100,
      IF(AND(首頁!O17="", 首頁!M17=""),
         10 * (100 + 50) / 100,
         (IF(首頁!O17="", 10, 首頁!O17) * (100 + IF(首頁!M17="", 50, 首頁!M17)) / 100)
      )
   ),
   ""
)</f>
        <v/>
      </c>
      <c r="S19" s="461"/>
      <c r="T19" s="413"/>
      <c r="U19" s="219" t="s">
        <v>436</v>
      </c>
      <c r="V19" s="287">
        <f>計算過程!BP32+計算過程!BP60</f>
        <v>97.5</v>
      </c>
      <c r="W19" s="310"/>
      <c r="X19" s="310"/>
      <c r="Y19" s="310"/>
      <c r="Z19" s="311"/>
      <c r="AC19" s="298">
        <f>IF(W19="", V19, W19)</f>
        <v>97.5</v>
      </c>
      <c r="AD19" s="298">
        <f>IF(X19="", V19, X19)</f>
        <v>97.5</v>
      </c>
      <c r="AE19" s="298">
        <f>IF(Y19="", V19, Y19)</f>
        <v>97.5</v>
      </c>
      <c r="AF19" s="298">
        <f>IF(Z19="", V19, Z19)</f>
        <v>97.5</v>
      </c>
    </row>
    <row r="20" spans="2:32" ht="16.5" customHeight="1" thickBot="1" x14ac:dyDescent="0.35">
      <c r="B20" s="476"/>
      <c r="C20" s="123" t="s">
        <v>575</v>
      </c>
      <c r="D20" s="355" t="s">
        <v>576</v>
      </c>
      <c r="F20" s="61" t="s">
        <v>365</v>
      </c>
      <c r="G20" s="61" t="b">
        <v>0</v>
      </c>
      <c r="I20" s="469" t="s">
        <v>584</v>
      </c>
      <c r="J20" s="289" t="s">
        <v>581</v>
      </c>
      <c r="K20" s="353"/>
      <c r="S20" s="461"/>
      <c r="T20" s="413"/>
      <c r="U20" s="219" t="s">
        <v>437</v>
      </c>
      <c r="V20" s="287">
        <f>計算過程!BP34+計算過程!BP62</f>
        <v>340</v>
      </c>
      <c r="W20" s="310"/>
      <c r="X20" s="310"/>
      <c r="Y20" s="310"/>
      <c r="Z20" s="311"/>
      <c r="AC20" s="298">
        <f>IF(W20="", V20, W20)</f>
        <v>340</v>
      </c>
      <c r="AD20" s="298">
        <f>IF(X20="", V20, X20)</f>
        <v>340</v>
      </c>
      <c r="AE20" s="298">
        <f>IF(Y20="", V20, Y20)</f>
        <v>340</v>
      </c>
      <c r="AF20" s="298">
        <f>IF(Z20="", V20, Z20)</f>
        <v>340</v>
      </c>
    </row>
    <row r="21" spans="2:32" ht="17.25" thickBot="1" x14ac:dyDescent="0.35">
      <c r="F21" s="61" t="s">
        <v>232</v>
      </c>
      <c r="G21" s="61" t="b">
        <v>0</v>
      </c>
      <c r="I21" s="472"/>
      <c r="J21" s="280" t="s">
        <v>582</v>
      </c>
      <c r="K21" s="354"/>
      <c r="S21" s="461"/>
      <c r="T21" s="416" t="s">
        <v>49</v>
      </c>
      <c r="U21" s="219" t="s">
        <v>442</v>
      </c>
      <c r="V21" s="287">
        <f>D15</f>
        <v>1000</v>
      </c>
      <c r="W21" s="281"/>
      <c r="X21" s="281"/>
      <c r="Y21" s="281"/>
      <c r="Z21" s="312"/>
      <c r="AC21" s="281">
        <f>D15</f>
        <v>1000</v>
      </c>
      <c r="AD21" s="281">
        <f>D15</f>
        <v>1000</v>
      </c>
      <c r="AE21" s="281">
        <f>D15</f>
        <v>1000</v>
      </c>
      <c r="AF21" s="281">
        <f>D15</f>
        <v>1000</v>
      </c>
    </row>
    <row r="22" spans="2:32" ht="17.25" thickBot="1" x14ac:dyDescent="0.35">
      <c r="F22" s="61" t="s">
        <v>393</v>
      </c>
      <c r="G22" s="61" t="b">
        <v>0</v>
      </c>
      <c r="I22" s="473"/>
      <c r="J22" s="363" t="s">
        <v>279</v>
      </c>
      <c r="K22" s="370"/>
      <c r="Q22" s="278" t="s">
        <v>499</v>
      </c>
      <c r="S22" s="461"/>
      <c r="T22" s="417"/>
      <c r="U22" s="219" t="s">
        <v>95</v>
      </c>
      <c r="V22" s="287">
        <f>計算過程!BP44</f>
        <v>0</v>
      </c>
      <c r="W22" s="303"/>
      <c r="X22" s="303"/>
      <c r="Y22" s="303"/>
      <c r="Z22" s="304"/>
      <c r="AA22" s="116"/>
      <c r="AB22" s="116"/>
      <c r="AC22" s="298">
        <f>IF(W22="", V22, W22)</f>
        <v>0</v>
      </c>
      <c r="AD22" s="298">
        <f>IF(X22="", V22, X22)</f>
        <v>0</v>
      </c>
      <c r="AE22" s="298">
        <f>IF(Y22="", V22, Y22)</f>
        <v>0</v>
      </c>
      <c r="AF22" s="298">
        <f>IF(Z22="", V22, Z22)</f>
        <v>0</v>
      </c>
    </row>
    <row r="23" spans="2:32" x14ac:dyDescent="0.3">
      <c r="F23" s="61" t="s">
        <v>24</v>
      </c>
      <c r="G23" s="61" t="b">
        <v>0</v>
      </c>
      <c r="I23" s="220"/>
      <c r="J23" s="267"/>
      <c r="M23" s="455" t="s">
        <v>475</v>
      </c>
      <c r="N23" s="238" t="s">
        <v>476</v>
      </c>
      <c r="O23" s="239">
        <f>V35</f>
        <v>1718</v>
      </c>
      <c r="Q23" s="254" t="str">
        <f>IF(首頁!K5="甜蜜白糖", O23+W59, "")</f>
        <v/>
      </c>
      <c r="S23" s="461"/>
      <c r="T23" s="417"/>
      <c r="U23" s="219" t="s">
        <v>353</v>
      </c>
      <c r="V23" s="287">
        <f>計算過程!BP64</f>
        <v>0</v>
      </c>
      <c r="W23" s="303"/>
      <c r="X23" s="303"/>
      <c r="Y23" s="303"/>
      <c r="Z23" s="304"/>
      <c r="AC23" s="298">
        <f>IF(W23="", V23, W23)</f>
        <v>0</v>
      </c>
      <c r="AD23" s="298">
        <f>IF(X23="", V23, X23)</f>
        <v>0</v>
      </c>
      <c r="AE23" s="298">
        <f>IF(Y23="", V23, Y23)</f>
        <v>0</v>
      </c>
      <c r="AF23" s="298">
        <f>IF(Z23="", V23, Z23)</f>
        <v>0</v>
      </c>
    </row>
    <row r="24" spans="2:32" ht="16.5" customHeight="1" x14ac:dyDescent="0.3">
      <c r="F24" s="61" t="s">
        <v>394</v>
      </c>
      <c r="G24" s="61" t="b">
        <v>0</v>
      </c>
      <c r="I24" s="482" t="s">
        <v>692</v>
      </c>
      <c r="J24" s="482"/>
      <c r="K24" s="482"/>
      <c r="M24" s="419"/>
      <c r="N24" s="237" t="s">
        <v>439</v>
      </c>
      <c r="O24" s="240">
        <f>V36</f>
        <v>5850</v>
      </c>
      <c r="Q24" s="245" t="str">
        <f>IF(首頁!K5="甜蜜白糖", W60+O24, "")</f>
        <v/>
      </c>
      <c r="S24" s="461"/>
      <c r="T24" s="417"/>
      <c r="U24" s="219" t="s">
        <v>443</v>
      </c>
      <c r="V24" s="287">
        <f>ROUNDDOWN(V21*(100-V22)*(100-V23)/10000, 0)</f>
        <v>1000</v>
      </c>
      <c r="W24" s="281"/>
      <c r="X24" s="281"/>
      <c r="Y24" s="281"/>
      <c r="Z24" s="312"/>
      <c r="AC24" s="287">
        <f>ROUNDDOWN(AC21*(100-AC22)*(100-AC23)/10000, 0)</f>
        <v>1000</v>
      </c>
      <c r="AD24" s="287">
        <f t="shared" ref="AD24:AF24" si="1">ROUNDDOWN(AD21*(100-AD22)*(100-AD23)/10000, 0)</f>
        <v>1000</v>
      </c>
      <c r="AE24" s="287">
        <f t="shared" si="1"/>
        <v>1000</v>
      </c>
      <c r="AF24" s="287">
        <f t="shared" si="1"/>
        <v>1000</v>
      </c>
    </row>
    <row r="25" spans="2:32" ht="17.25" thickBot="1" x14ac:dyDescent="0.35">
      <c r="F25" s="61" t="s">
        <v>500</v>
      </c>
      <c r="G25" s="61" t="b">
        <v>0</v>
      </c>
      <c r="I25" s="161" t="s">
        <v>657</v>
      </c>
      <c r="J25" s="119">
        <v>2222</v>
      </c>
      <c r="K25" s="119">
        <v>4913</v>
      </c>
      <c r="M25" s="419"/>
      <c r="N25" s="237" t="s">
        <v>440</v>
      </c>
      <c r="O25" s="241">
        <f>V37</f>
        <v>5738.12</v>
      </c>
      <c r="Q25" s="246" t="str">
        <f>IF(首頁!K5="甜蜜白糖", W61+O25, "")</f>
        <v/>
      </c>
      <c r="S25" s="461"/>
      <c r="T25" s="417"/>
      <c r="U25" s="219" t="s">
        <v>357</v>
      </c>
      <c r="V25" s="287">
        <f>ROUNDDOWN(500/(500+V24), 4)</f>
        <v>0.33329999999999999</v>
      </c>
      <c r="W25" s="280">
        <f>AC25</f>
        <v>0.33329999999999999</v>
      </c>
      <c r="X25" s="280">
        <f>AD25</f>
        <v>0.33329999999999999</v>
      </c>
      <c r="Y25" s="280">
        <f>AE25</f>
        <v>0.33329999999999999</v>
      </c>
      <c r="Z25" s="306">
        <f>AF25</f>
        <v>0.33329999999999999</v>
      </c>
      <c r="AC25" s="287">
        <f>ROUNDDOWN(500/(500+AC24), 4)</f>
        <v>0.33329999999999999</v>
      </c>
      <c r="AD25" s="287">
        <f t="shared" ref="AD25:AF25" si="2">ROUNDDOWN(500/(500+AD24), 4)</f>
        <v>0.33329999999999999</v>
      </c>
      <c r="AE25" s="287">
        <f t="shared" si="2"/>
        <v>0.33329999999999999</v>
      </c>
      <c r="AF25" s="287">
        <f t="shared" si="2"/>
        <v>0.33329999999999999</v>
      </c>
    </row>
    <row r="26" spans="2:32" x14ac:dyDescent="0.3">
      <c r="F26" s="61" t="s">
        <v>92</v>
      </c>
      <c r="G26" s="61" t="b">
        <v>0</v>
      </c>
      <c r="I26" s="161" t="s">
        <v>658</v>
      </c>
      <c r="J26" s="119">
        <v>1142</v>
      </c>
      <c r="K26" s="119">
        <v>6192</v>
      </c>
      <c r="M26" s="419" t="s">
        <v>180</v>
      </c>
      <c r="N26" s="237" t="s">
        <v>354</v>
      </c>
      <c r="O26" s="240">
        <f>V42</f>
        <v>1718</v>
      </c>
      <c r="S26" s="461"/>
      <c r="T26" s="413" t="s">
        <v>244</v>
      </c>
      <c r="U26" s="115" t="s">
        <v>355</v>
      </c>
      <c r="V26" s="287">
        <f>計算過程!BP74</f>
        <v>0</v>
      </c>
      <c r="W26" s="303"/>
      <c r="X26" s="303"/>
      <c r="Y26" s="303"/>
      <c r="Z26" s="304"/>
      <c r="AC26" s="298">
        <f>IF(W26="", V26, W26)</f>
        <v>0</v>
      </c>
      <c r="AD26" s="298">
        <f>IF(X26="", V26, X26)</f>
        <v>0</v>
      </c>
      <c r="AE26" s="298">
        <f>IF(Y26="", V26, Y26)</f>
        <v>0</v>
      </c>
      <c r="AF26" s="298">
        <f>IF(Z26="", V26, Z26)</f>
        <v>0</v>
      </c>
    </row>
    <row r="27" spans="2:32" x14ac:dyDescent="0.3">
      <c r="F27" s="61" t="s">
        <v>94</v>
      </c>
      <c r="G27" s="61" t="b">
        <v>0</v>
      </c>
      <c r="I27" s="161" t="s">
        <v>659</v>
      </c>
      <c r="J27" s="119">
        <v>2321</v>
      </c>
      <c r="K27" s="119">
        <v>4533</v>
      </c>
      <c r="M27" s="419"/>
      <c r="N27" s="237" t="s">
        <v>439</v>
      </c>
      <c r="O27" s="240">
        <f>V43</f>
        <v>5850</v>
      </c>
      <c r="S27" s="461"/>
      <c r="T27" s="413"/>
      <c r="U27" s="115" t="s">
        <v>356</v>
      </c>
      <c r="V27" s="287">
        <f>(100-20+V26)%</f>
        <v>0.8</v>
      </c>
      <c r="W27" s="280">
        <f>AC27</f>
        <v>0.8</v>
      </c>
      <c r="X27" s="280">
        <f>AD27</f>
        <v>0.8</v>
      </c>
      <c r="Y27" s="280">
        <f>AE27</f>
        <v>0.8</v>
      </c>
      <c r="Z27" s="306">
        <f>AF27</f>
        <v>0.8</v>
      </c>
      <c r="AC27" s="285">
        <f>(100-20+AC26)%</f>
        <v>0.8</v>
      </c>
      <c r="AD27" s="285">
        <f>(100-20+AD26)%</f>
        <v>0.8</v>
      </c>
      <c r="AE27" s="285">
        <f>(100-20+AE26)%</f>
        <v>0.8</v>
      </c>
      <c r="AF27" s="285">
        <f>(100-20+AF26)%</f>
        <v>0.8</v>
      </c>
    </row>
    <row r="28" spans="2:32" x14ac:dyDescent="0.3">
      <c r="F28" s="61" t="s">
        <v>106</v>
      </c>
      <c r="G28" s="61" t="b">
        <v>0</v>
      </c>
      <c r="M28" s="419"/>
      <c r="N28" s="237" t="s">
        <v>440</v>
      </c>
      <c r="O28" s="241">
        <f>V44</f>
        <v>5738.12</v>
      </c>
      <c r="S28" s="461"/>
      <c r="T28" s="413" t="s">
        <v>37</v>
      </c>
      <c r="U28" s="413"/>
      <c r="V28" s="287">
        <f>計算過程!BP22</f>
        <v>83.7</v>
      </c>
      <c r="W28" s="303"/>
      <c r="X28" s="303"/>
      <c r="Y28" s="303"/>
      <c r="Z28" s="304"/>
      <c r="AC28" s="298">
        <f>IF(W28="", V28, W28)</f>
        <v>83.7</v>
      </c>
      <c r="AD28" s="298">
        <f>IF(X28="", V28, X28)</f>
        <v>83.7</v>
      </c>
      <c r="AE28" s="298">
        <f>IF(Y28="", V28, Y28)</f>
        <v>83.7</v>
      </c>
      <c r="AF28" s="298">
        <f>IF(Z28="", V28, Z28)</f>
        <v>83.7</v>
      </c>
    </row>
    <row r="29" spans="2:32" x14ac:dyDescent="0.3">
      <c r="F29" s="61" t="s">
        <v>575</v>
      </c>
      <c r="G29" s="61" t="b">
        <v>0</v>
      </c>
      <c r="I29" s="161" t="s">
        <v>658</v>
      </c>
      <c r="J29" s="119">
        <v>1142</v>
      </c>
      <c r="K29" s="119">
        <v>6170</v>
      </c>
      <c r="M29" s="419" t="s">
        <v>181</v>
      </c>
      <c r="N29" s="237" t="s">
        <v>354</v>
      </c>
      <c r="O29" s="240">
        <f>V49</f>
        <v>0</v>
      </c>
      <c r="S29" s="461"/>
      <c r="T29" s="413" t="s">
        <v>351</v>
      </c>
      <c r="U29" s="413"/>
      <c r="V29" s="287">
        <f>計算過程!BP76</f>
        <v>1</v>
      </c>
      <c r="W29" s="303"/>
      <c r="X29" s="303"/>
      <c r="Y29" s="303"/>
      <c r="Z29" s="304"/>
      <c r="AC29" s="298">
        <f>IF(W29="", V29, W29)</f>
        <v>1</v>
      </c>
      <c r="AD29" s="298">
        <f>IF(X29="", V29, X29)</f>
        <v>1</v>
      </c>
      <c r="AE29" s="298">
        <f>IF(Y29="", V29, Y29)</f>
        <v>1</v>
      </c>
      <c r="AF29" s="298">
        <f>IF(Z29="", V29, Z29)</f>
        <v>1</v>
      </c>
    </row>
    <row r="30" spans="2:32" ht="16.5" customHeight="1" x14ac:dyDescent="0.3">
      <c r="F30" s="61" t="s">
        <v>279</v>
      </c>
      <c r="G30" s="61" t="b">
        <v>0</v>
      </c>
      <c r="J30" s="119">
        <v>2042</v>
      </c>
      <c r="K30" s="119">
        <v>6170</v>
      </c>
      <c r="M30" s="419"/>
      <c r="N30" s="237" t="s">
        <v>439</v>
      </c>
      <c r="O30" s="240">
        <f>V50</f>
        <v>0</v>
      </c>
      <c r="S30" s="461"/>
      <c r="T30" s="413" t="s">
        <v>248</v>
      </c>
      <c r="U30" s="413"/>
      <c r="V30" s="287">
        <f>計算過程!BP78</f>
        <v>1</v>
      </c>
      <c r="W30" s="303"/>
      <c r="X30" s="303"/>
      <c r="Y30" s="303"/>
      <c r="Z30" s="304"/>
      <c r="AC30" s="298">
        <f>IF(W30="", V30, W30)</f>
        <v>1</v>
      </c>
      <c r="AD30" s="298">
        <f>IF(X30="", V30, X30)</f>
        <v>1</v>
      </c>
      <c r="AE30" s="298">
        <f>IF(Y30="", V30, Y30)</f>
        <v>1</v>
      </c>
      <c r="AF30" s="298">
        <f>IF(Z30="", V30, Z30)</f>
        <v>1</v>
      </c>
    </row>
    <row r="31" spans="2:32" ht="17.25" customHeight="1" thickBot="1" x14ac:dyDescent="0.35">
      <c r="B31" s="266"/>
      <c r="C31" s="266"/>
      <c r="D31" s="266"/>
      <c r="J31" s="119">
        <v>1043</v>
      </c>
      <c r="K31" s="119">
        <v>6192</v>
      </c>
      <c r="M31" s="420"/>
      <c r="N31" s="242" t="s">
        <v>440</v>
      </c>
      <c r="O31" s="243">
        <f>V51</f>
        <v>0</v>
      </c>
      <c r="S31" s="462"/>
      <c r="T31" s="418" t="s">
        <v>352</v>
      </c>
      <c r="U31" s="418"/>
      <c r="V31" s="307">
        <f>計算過程!BP80</f>
        <v>1.3</v>
      </c>
      <c r="W31" s="308"/>
      <c r="X31" s="308"/>
      <c r="Y31" s="308"/>
      <c r="Z31" s="309"/>
      <c r="AC31" s="298">
        <f>IF(W31="", V31, W31)</f>
        <v>1.3</v>
      </c>
      <c r="AD31" s="298">
        <f>IF(X31="", V31, X31)</f>
        <v>1.3</v>
      </c>
      <c r="AE31" s="298">
        <f>IF(Y31="", V31, Y31)</f>
        <v>1.3</v>
      </c>
      <c r="AF31" s="298">
        <f>IF(Z31="", V31, Z31)</f>
        <v>1.3</v>
      </c>
    </row>
    <row r="32" spans="2:32" ht="17.25" customHeight="1" x14ac:dyDescent="0.3">
      <c r="B32" s="266"/>
      <c r="C32" s="266"/>
      <c r="D32" s="266"/>
      <c r="F32" s="61" t="s">
        <v>460</v>
      </c>
      <c r="G32" s="61" t="b">
        <v>1</v>
      </c>
      <c r="V32" s="127" t="s">
        <v>367</v>
      </c>
      <c r="W32" s="127" t="s">
        <v>514</v>
      </c>
      <c r="X32" s="282" t="s">
        <v>515</v>
      </c>
      <c r="Y32" s="282" t="s">
        <v>516</v>
      </c>
      <c r="Z32" s="282" t="s">
        <v>517</v>
      </c>
      <c r="AC32" s="209"/>
      <c r="AD32" s="209"/>
      <c r="AE32" s="210"/>
      <c r="AF32" s="209"/>
    </row>
    <row r="33" spans="2:29" x14ac:dyDescent="0.3">
      <c r="F33" s="61" t="s">
        <v>464</v>
      </c>
      <c r="G33" s="61" t="b">
        <v>1</v>
      </c>
    </row>
    <row r="34" spans="2:29" ht="17.25" thickBot="1" x14ac:dyDescent="0.35">
      <c r="F34" s="61" t="s">
        <v>561</v>
      </c>
      <c r="G34" s="61" t="b">
        <v>0</v>
      </c>
    </row>
    <row r="35" spans="2:29" x14ac:dyDescent="0.3">
      <c r="F35" s="61" t="s">
        <v>578</v>
      </c>
      <c r="G35" s="61" t="b">
        <v>0</v>
      </c>
      <c r="S35" s="456" t="s">
        <v>368</v>
      </c>
      <c r="T35" s="414" t="s">
        <v>185</v>
      </c>
      <c r="U35" s="289" t="s">
        <v>354</v>
      </c>
      <c r="V35" s="290">
        <f>ROUNDDOWN(ROUNDDOWN(ROUNDDOWN(ROUNDDOWN(ROUNDDOWN(ROUNDDOWN(ROUNDDOWN(ROUNDDOWN(ROUNDDOWN(首頁!V4 * (1 + 首頁!V5 / 100), 0) * 首頁!V8, 0) * (首頁!AI10 / 100), 0) * 首頁!V25, 0) * 首頁!V27, 0) * (1 + 首頁!V28 / 100), 0) * 首頁!V29, 0) * 首頁!V30, 0) * 首頁!V31, 0)</f>
        <v>1718</v>
      </c>
      <c r="W35" s="290">
        <f>ROUNDDOWN(ROUNDDOWN(ROUNDDOWN(ROUNDDOWN(ROUNDDOWN(ROUNDDOWN(ROUNDDOWN(ROUNDDOWN(ROUNDDOWN(首頁!AC4 * (1 + 首頁!AC5 / 100), 0) * 首頁!AC8, 0) * (首頁!AI10 / 100), 0) * 首頁!AC25, 0) * 首頁!AC27, 0) * (1 + 首頁!AC28 / 100), 0) * 首頁!AC29, 0) * 首頁!AC30, 0) * 首頁!AC31, 0)</f>
        <v>1718</v>
      </c>
      <c r="X35" s="290">
        <f>ROUNDDOWN(ROUNDDOWN(ROUNDDOWN(ROUNDDOWN(ROUNDDOWN(ROUNDDOWN(ROUNDDOWN(ROUNDDOWN(ROUNDDOWN(首頁!AD4 * (1 + 首頁!AD5 / 100), 0) * 首頁!AD8, 0) * (首頁!AI10 / 100), 0) * 首頁!AD25, 0) * 首頁!AD27, 0) * (1 + 首頁!AD28 / 100), 0) * 首頁!AD29, 0) * 首頁!AD30, 0) * 首頁!AD31, 0)</f>
        <v>1718</v>
      </c>
      <c r="Y35" s="290">
        <f>ROUNDDOWN(ROUNDDOWN(ROUNDDOWN(ROUNDDOWN(ROUNDDOWN(ROUNDDOWN(ROUNDDOWN(ROUNDDOWN(ROUNDDOWN(首頁!AE4 * (1 + 首頁!AE5 / 100), 0) * 首頁!AE8, 0) * (首頁!AI10 / 100), 0) * 首頁!AE25, 0) * 首頁!AE27, 0) * (1 + 首頁!AE28 / 100), 0) * 首頁!AE29, 0) * 首頁!AE30, 0) * 首頁!AE31, 0)</f>
        <v>1718</v>
      </c>
      <c r="Z35" s="291">
        <f>ROUNDDOWN(ROUNDDOWN(ROUNDDOWN(ROUNDDOWN(ROUNDDOWN(ROUNDDOWN(ROUNDDOWN(ROUNDDOWN(ROUNDDOWN(首頁!AF4 * (1 + 首頁!AF5 / 100), 0) * 首頁!AF8, 0) * (首頁!AI10 / 100), 0) * 首頁!AF25, 0) * 首頁!AF27, 0) * (1 + 首頁!AF28 / 100), 0) * 首頁!AF29, 0) * 首頁!AF30, 0) * 首頁!AF31, 0)</f>
        <v>1718</v>
      </c>
      <c r="AB35" s="220"/>
      <c r="AC35" s="11"/>
    </row>
    <row r="36" spans="2:29" x14ac:dyDescent="0.3">
      <c r="F36" s="61" t="s">
        <v>581</v>
      </c>
      <c r="G36" s="61" t="b">
        <v>0</v>
      </c>
      <c r="S36" s="457"/>
      <c r="T36" s="415"/>
      <c r="U36" s="280" t="s">
        <v>439</v>
      </c>
      <c r="V36" s="287">
        <f>ROUNDDOWN(ROUNDDOWN(ROUNDDOWN(ROUNDDOWN(ROUNDDOWN(ROUNDDOWN(ROUNDDOWN(ROUNDDOWN(ROUNDDOWN(首頁!V4 * (1 + 首頁!V5 / 100), 0) * 首頁!V8, 0) * (首頁!V10 / 100), 0) * 首頁!V25, 0) * 首頁!V27, 0) * (1 + 首頁!V28 / 100), 0) * 首頁!V29, 0) * 首頁!V30, 0) * 首頁!V31, 0)</f>
        <v>5850</v>
      </c>
      <c r="W36" s="287">
        <f>ROUNDDOWN(ROUNDDOWN(ROUNDDOWN(ROUNDDOWN(ROUNDDOWN(ROUNDDOWN(ROUNDDOWN(ROUNDDOWN(ROUNDDOWN(首頁!AC4 * (1 + 首頁!AC5 / 100), 0) * 首頁!AC8, 0) * (首頁!AC10 / 100), 0) * 首頁!AC25, 0) * 首頁!AC27, 0) * (1 + 首頁!AC28 / 100), 0) * 首頁!AC29, 0) * 首頁!AC30, 0) * 首頁!AC31, 0)</f>
        <v>5850</v>
      </c>
      <c r="X36" s="287">
        <f>ROUNDDOWN(ROUNDDOWN(ROUNDDOWN(ROUNDDOWN(ROUNDDOWN(ROUNDDOWN(ROUNDDOWN(ROUNDDOWN(ROUNDDOWN(首頁!AD4 * (1 + 首頁!AD5 / 100), 0) * 首頁!AD8, 0) * (首頁!AD10 / 100), 0) * 首頁!AD25, 0) * 首頁!AD27, 0) * (1 + 首頁!AD28 / 100), 0) * 首頁!AD29, 0) * 首頁!AD30, 0) * 首頁!AD31, 0)</f>
        <v>5850</v>
      </c>
      <c r="Y36" s="287">
        <f>ROUNDDOWN(ROUNDDOWN(ROUNDDOWN(ROUNDDOWN(ROUNDDOWN(ROUNDDOWN(ROUNDDOWN(ROUNDDOWN(ROUNDDOWN(首頁!AE4 * (1 + 首頁!AE5 / 100), 0) * 首頁!AE8, 0) * (首頁!AE10 / 100), 0) * 首頁!AE25, 0) * 首頁!AE27, 0) * (1 + 首頁!AE28 / 100), 0) * 首頁!AE29, 0) * 首頁!AE30, 0) * 首頁!AE31, 0)</f>
        <v>5850</v>
      </c>
      <c r="Z36" s="292">
        <f>ROUNDDOWN(ROUNDDOWN(ROUNDDOWN(ROUNDDOWN(ROUNDDOWN(ROUNDDOWN(ROUNDDOWN(ROUNDDOWN(ROUNDDOWN(首頁!AF4 * (1 + 首頁!AF5 / 100), 0) * 首頁!AF8, 0) * (首頁!AF10 / 100), 0) * 首頁!AF25, 0) * 首頁!AF27, 0) * (1 + 首頁!AF28 / 100), 0) * 首頁!AF29, 0) * 首頁!AF30, 0) * 首頁!AF31, 0)</f>
        <v>5850</v>
      </c>
    </row>
    <row r="37" spans="2:29" x14ac:dyDescent="0.3">
      <c r="F37" s="61" t="s">
        <v>582</v>
      </c>
      <c r="G37" s="61" t="b">
        <v>0</v>
      </c>
      <c r="I37" s="464" t="s">
        <v>534</v>
      </c>
      <c r="J37" s="133" t="s">
        <v>185</v>
      </c>
      <c r="K37" s="117" t="s">
        <v>556</v>
      </c>
      <c r="S37" s="457"/>
      <c r="T37" s="415"/>
      <c r="U37" s="280" t="s">
        <v>440</v>
      </c>
      <c r="V37" s="288">
        <f>(V9%*V10%+(100-V9)%*1)*V35</f>
        <v>5738.12</v>
      </c>
      <c r="W37" s="288">
        <f>(AC9%*AC10%+(100-AC9)%*1)*W35</f>
        <v>5738.12</v>
      </c>
      <c r="X37" s="286">
        <f>(AD9%*AD10%+(100-AD9)%*1)*X35</f>
        <v>5738.12</v>
      </c>
      <c r="Y37" s="286">
        <f t="shared" ref="Y37:Z37" si="3">(AE9%*AE10%+(100-AE9)%*1)*Y35</f>
        <v>5738.12</v>
      </c>
      <c r="Z37" s="293">
        <f t="shared" si="3"/>
        <v>5738.12</v>
      </c>
    </row>
    <row r="38" spans="2:29" x14ac:dyDescent="0.3">
      <c r="F38" s="61" t="s">
        <v>523</v>
      </c>
      <c r="G38" s="61" t="e">
        <f>VLOOKUP(D3,角色倍率!J3:N388, 2,FALSE)</f>
        <v>#N/A</v>
      </c>
      <c r="I38" s="465"/>
      <c r="J38" s="133" t="s">
        <v>180</v>
      </c>
      <c r="K38" s="117" t="s">
        <v>529</v>
      </c>
      <c r="S38" s="457"/>
      <c r="T38" s="415" t="s">
        <v>358</v>
      </c>
      <c r="U38" s="280" t="s">
        <v>419</v>
      </c>
      <c r="V38" s="280">
        <v>1</v>
      </c>
      <c r="W38" s="283">
        <f>W36/V36</f>
        <v>1</v>
      </c>
      <c r="X38" s="283">
        <f>X36/V36</f>
        <v>1</v>
      </c>
      <c r="Y38" s="283">
        <f>Y36/V36</f>
        <v>1</v>
      </c>
      <c r="Z38" s="294">
        <f>Z36/V36</f>
        <v>1</v>
      </c>
    </row>
    <row r="39" spans="2:29" x14ac:dyDescent="0.3">
      <c r="F39" s="61" t="s">
        <v>523</v>
      </c>
      <c r="G39" s="61" t="e">
        <f>VLOOKUP(D3,角色倍率!J3:N388, 3,FALSE)</f>
        <v>#N/A</v>
      </c>
      <c r="I39" s="465"/>
      <c r="J39" s="133" t="s">
        <v>181</v>
      </c>
      <c r="K39" s="117" t="s">
        <v>528</v>
      </c>
      <c r="S39" s="457"/>
      <c r="T39" s="415"/>
      <c r="U39" s="280" t="s">
        <v>420</v>
      </c>
      <c r="V39" s="280"/>
      <c r="W39" s="280">
        <v>1</v>
      </c>
      <c r="X39" s="283">
        <f>X36/W36</f>
        <v>1</v>
      </c>
      <c r="Y39" s="283">
        <f>Y36/W36</f>
        <v>1</v>
      </c>
      <c r="Z39" s="294">
        <f>Z36/W36</f>
        <v>1</v>
      </c>
    </row>
    <row r="40" spans="2:29" x14ac:dyDescent="0.3">
      <c r="F40" s="61" t="s">
        <v>523</v>
      </c>
      <c r="G40" s="61" t="e">
        <f>VLOOKUP(D3,角色倍率!J3:N388, 4,FALSE)</f>
        <v>#N/A</v>
      </c>
      <c r="I40" s="466"/>
      <c r="J40" s="280" t="s">
        <v>530</v>
      </c>
      <c r="K40" s="117" t="s">
        <v>532</v>
      </c>
      <c r="L40" s="277"/>
      <c r="M40" s="209"/>
      <c r="N40" s="209"/>
      <c r="O40" s="209"/>
      <c r="P40" s="209"/>
      <c r="S40" s="457"/>
      <c r="T40" s="415"/>
      <c r="U40" s="280" t="s">
        <v>421</v>
      </c>
      <c r="V40" s="280"/>
      <c r="W40" s="280"/>
      <c r="X40" s="284">
        <v>1</v>
      </c>
      <c r="Y40" s="283">
        <f>Y36/X36</f>
        <v>1</v>
      </c>
      <c r="Z40" s="294">
        <f>Z36/X36</f>
        <v>1</v>
      </c>
    </row>
    <row r="41" spans="2:29" ht="17.25" thickBot="1" x14ac:dyDescent="0.35">
      <c r="F41" s="61" t="s">
        <v>523</v>
      </c>
      <c r="G41" s="61" t="e">
        <f>VLOOKUP(D3,角色倍率!J3:N388, 5,FALSE)</f>
        <v>#N/A</v>
      </c>
      <c r="M41" s="209"/>
      <c r="N41" s="209"/>
      <c r="O41" s="209"/>
      <c r="P41" s="209"/>
      <c r="S41" s="457"/>
      <c r="T41" s="459"/>
      <c r="U41" s="295" t="s">
        <v>422</v>
      </c>
      <c r="V41" s="295"/>
      <c r="W41" s="295"/>
      <c r="X41" s="295"/>
      <c r="Y41" s="296">
        <v>1</v>
      </c>
      <c r="Z41" s="297">
        <f>Z36/Y36</f>
        <v>1</v>
      </c>
    </row>
    <row r="42" spans="2:29" x14ac:dyDescent="0.3">
      <c r="M42" s="209"/>
      <c r="N42" s="209"/>
      <c r="O42" s="209"/>
      <c r="P42" s="209"/>
      <c r="Q42" s="244" t="str">
        <f>IF(首頁!K5="甜蜜白糖", O26+W59, "")</f>
        <v/>
      </c>
      <c r="S42" s="457"/>
      <c r="T42" s="414" t="s">
        <v>180</v>
      </c>
      <c r="U42" s="289" t="s">
        <v>354</v>
      </c>
      <c r="V42" s="290">
        <f>ROUNDDOWN(ROUNDDOWN(ROUNDDOWN(ROUNDDOWN(ROUNDDOWN(ROUNDDOWN(ROUNDDOWN(ROUNDDOWN(ROUNDDOWN(首頁!V4 * (1 + 首頁!V5 / 100), 0) * 首頁!V13, 0) * (首頁!AI10 / 100), 0) * 首頁!V25, 0) * 首頁!V27, 0) * (1 + 首頁!V28 / 100), 0) * 首頁!V29, 0) * 首頁!V30, 0) * 首頁!V31, 0)</f>
        <v>1718</v>
      </c>
      <c r="W42" s="290">
        <f>ROUNDDOWN(ROUNDDOWN(ROUNDDOWN(ROUNDDOWN(ROUNDDOWN(ROUNDDOWN(ROUNDDOWN(ROUNDDOWN(ROUNDDOWN(首頁!AC4 * (1 + 首頁!AC5 / 100), 0) * 首頁!AC13, 0) * (首頁!AI10 / 100), 0) * 首頁!AC25, 0) * 首頁!AC27, 0) * (1 + 首頁!AC28 / 100), 0) * 首頁!AC29, 0) * 首頁!AC30, 0) * 首頁!AC31, 0)</f>
        <v>1718</v>
      </c>
      <c r="X42" s="290">
        <f>ROUNDDOWN(ROUNDDOWN(ROUNDDOWN(ROUNDDOWN(ROUNDDOWN(ROUNDDOWN(ROUNDDOWN(ROUNDDOWN(ROUNDDOWN(首頁!AD4 * (1 + 首頁!AD5 / 100), 0) * 首頁!AD13, 0) * (首頁!AI10 / 100), 0) * 首頁!AD25, 0) * 首頁!AD27, 0) * (1 + 首頁!AD28 / 100), 0) * 首頁!AD29, 0) * 首頁!AD30, 0) * 首頁!AD31, 0)</f>
        <v>1718</v>
      </c>
      <c r="Y42" s="290">
        <f>ROUNDDOWN(ROUNDDOWN(ROUNDDOWN(ROUNDDOWN(ROUNDDOWN(ROUNDDOWN(ROUNDDOWN(ROUNDDOWN(ROUNDDOWN(首頁!AE4 * (1 + 首頁!AE5 / 100), 0) * 首頁!AE13, 0) * (首頁!AI10 / 100), 0) * 首頁!AE25, 0) * 首頁!AE27, 0) * (1 + 首頁!AE28 / 100), 0) * 首頁!AE29, 0) * 首頁!AE30, 0) * 首頁!AE31, 0)</f>
        <v>1718</v>
      </c>
      <c r="Z42" s="291">
        <f>ROUNDDOWN(ROUNDDOWN(ROUNDDOWN(ROUNDDOWN(ROUNDDOWN(ROUNDDOWN(ROUNDDOWN(ROUNDDOWN(ROUNDDOWN(首頁!AF4 * (1 + 首頁!AF5 / 100), 0) * 首頁!AF13, 0) * (首頁!AI10 / 100), 0) * 首頁!AF25, 0) * 首頁!AF27, 0) * (1 + 首頁!AF28 / 100), 0) * 首頁!AF29, 0) * 首頁!AF30, 0) * 首頁!AF31, 0)</f>
        <v>1718</v>
      </c>
    </row>
    <row r="43" spans="2:29" x14ac:dyDescent="0.3">
      <c r="M43" s="209"/>
      <c r="N43" s="209"/>
      <c r="O43" s="209"/>
      <c r="P43" s="209"/>
      <c r="Q43" s="245" t="str">
        <f>IF(首頁!K5="甜蜜白糖", W60+O27, "")</f>
        <v/>
      </c>
      <c r="S43" s="457"/>
      <c r="T43" s="415"/>
      <c r="U43" s="280" t="s">
        <v>439</v>
      </c>
      <c r="V43" s="287">
        <f>ROUNDDOWN(ROUNDDOWN(ROUNDDOWN(ROUNDDOWN(ROUNDDOWN(ROUNDDOWN(ROUNDDOWN(ROUNDDOWN(ROUNDDOWN(首頁!V4 * (1 + 首頁!V5 / 100), 0) * 首頁!V13, 0) * (首頁!V15 / 100), 0) * 首頁!V25, 0) * 首頁!V27, 0) * (1 + 首頁!V28 / 100), 0) * 首頁!V29, 0) * 首頁!V30, 0) * 首頁!V31, 0)</f>
        <v>5850</v>
      </c>
      <c r="W43" s="287">
        <f>ROUNDDOWN(ROUNDDOWN(ROUNDDOWN(ROUNDDOWN(ROUNDDOWN(ROUNDDOWN(ROUNDDOWN(ROUNDDOWN(ROUNDDOWN(首頁!AC4 * (1 + 首頁!AC5 / 100), 0) * 首頁!AC13, 0) * (首頁!AC15 / 100), 0) * 首頁!AC25, 0) * 首頁!AC27, 0) * (1 + 首頁!AC28 / 100), 0) * 首頁!AC29, 0) * 首頁!AC30, 0) * 首頁!AC31, 0)</f>
        <v>5850</v>
      </c>
      <c r="X43" s="287">
        <f>ROUNDDOWN(ROUNDDOWN(ROUNDDOWN(ROUNDDOWN(ROUNDDOWN(ROUNDDOWN(ROUNDDOWN(ROUNDDOWN(ROUNDDOWN(首頁!AD4 * (1 + 首頁!AD5 / 100), 0) * 首頁!AD13, 0) * (首頁!AD15 / 100), 0) * 首頁!AD25, 0) * 首頁!AD27, 0) * (1 + 首頁!AD28 / 100), 0) * 首頁!AD29, 0) * 首頁!AD30, 0) * 首頁!AD31, 0)</f>
        <v>5850</v>
      </c>
      <c r="Y43" s="287">
        <f>ROUNDDOWN(ROUNDDOWN(ROUNDDOWN(ROUNDDOWN(ROUNDDOWN(ROUNDDOWN(ROUNDDOWN(ROUNDDOWN(ROUNDDOWN(首頁!AE4 * (1 + 首頁!AE5 / 100), 0) * 首頁!AE13, 0) * (首頁!AE15 / 100), 0) * 首頁!AE25, 0) * 首頁!AE27, 0) * (1 + 首頁!AE28 / 100), 0) * 首頁!AE29, 0) * 首頁!AE30, 0) * 首頁!AE31, 0)</f>
        <v>5850</v>
      </c>
      <c r="Z43" s="292">
        <f>ROUNDDOWN(ROUNDDOWN(ROUNDDOWN(ROUNDDOWN(ROUNDDOWN(ROUNDDOWN(ROUNDDOWN(ROUNDDOWN(ROUNDDOWN(首頁!AF4 * (1 + 首頁!AF5 / 100), 0) * 首頁!AF13, 0) * (首頁!AF15 / 100), 0) * 首頁!AF25, 0) * 首頁!AF27, 0) * (1 + 首頁!AF28 / 100), 0) * 首頁!AF29, 0) * 首頁!AF30, 0) * 首頁!AF31, 0)</f>
        <v>5850</v>
      </c>
    </row>
    <row r="44" spans="2:29" ht="17.25" thickBot="1" x14ac:dyDescent="0.35">
      <c r="Q44" s="246" t="str">
        <f>IF(首頁!K5="甜蜜白糖", W61+O28, "")</f>
        <v/>
      </c>
      <c r="S44" s="457"/>
      <c r="T44" s="415"/>
      <c r="U44" s="280" t="s">
        <v>440</v>
      </c>
      <c r="V44" s="288">
        <f>(V14%*V15%+(100-V14)%*1)*V42</f>
        <v>5738.12</v>
      </c>
      <c r="W44" s="288">
        <f>(AC14%*AC15%+(100-AC14)%*1)*W42</f>
        <v>5738.12</v>
      </c>
      <c r="X44" s="286">
        <f t="shared" ref="X44:Z44" si="4">(AD14%*AD15%+(100-AD14)%*1)*X42</f>
        <v>5738.12</v>
      </c>
      <c r="Y44" s="286">
        <f t="shared" si="4"/>
        <v>5738.12</v>
      </c>
      <c r="Z44" s="293">
        <f t="shared" si="4"/>
        <v>5738.12</v>
      </c>
      <c r="AB44" s="11"/>
      <c r="AC44" s="11"/>
    </row>
    <row r="45" spans="2:29" x14ac:dyDescent="0.3">
      <c r="B45" s="477" t="s">
        <v>635</v>
      </c>
      <c r="C45" s="60" t="s">
        <v>169</v>
      </c>
      <c r="D45" s="249"/>
      <c r="Q45" s="244" t="str">
        <f>IF(首頁!K5="甜蜜白糖", O29+W59, "")</f>
        <v/>
      </c>
      <c r="S45" s="457"/>
      <c r="T45" s="415" t="s">
        <v>358</v>
      </c>
      <c r="U45" s="280" t="s">
        <v>419</v>
      </c>
      <c r="V45" s="280">
        <v>1</v>
      </c>
      <c r="W45" s="283">
        <f>W43/V43</f>
        <v>1</v>
      </c>
      <c r="X45" s="283">
        <f>X43/V43</f>
        <v>1</v>
      </c>
      <c r="Y45" s="283">
        <f>Y43/V43</f>
        <v>1</v>
      </c>
      <c r="Z45" s="294">
        <f>Z43/V43</f>
        <v>1</v>
      </c>
      <c r="AB45" s="11"/>
      <c r="AC45" s="11"/>
    </row>
    <row r="46" spans="2:29" x14ac:dyDescent="0.3">
      <c r="B46" s="478"/>
      <c r="C46" s="106" t="s">
        <v>312</v>
      </c>
      <c r="D46" s="249">
        <v>70</v>
      </c>
      <c r="Q46" s="245" t="str">
        <f>IF(首頁!K5="甜蜜白糖", O30+W60, "")</f>
        <v/>
      </c>
      <c r="S46" s="457"/>
      <c r="T46" s="415"/>
      <c r="U46" s="280" t="s">
        <v>420</v>
      </c>
      <c r="V46" s="280"/>
      <c r="W46" s="280">
        <v>1</v>
      </c>
      <c r="X46" s="283">
        <f>X43/W43</f>
        <v>1</v>
      </c>
      <c r="Y46" s="283">
        <f>Y43/W43</f>
        <v>1</v>
      </c>
      <c r="Z46" s="294">
        <f>Z43/W43</f>
        <v>1</v>
      </c>
      <c r="AB46" s="220"/>
      <c r="AC46" s="11"/>
    </row>
    <row r="47" spans="2:29" ht="17.25" thickBot="1" x14ac:dyDescent="0.35">
      <c r="B47" s="478"/>
      <c r="C47" s="60" t="s">
        <v>238</v>
      </c>
      <c r="D47" s="249"/>
      <c r="Q47" s="246" t="str">
        <f>IF(首頁!K5="甜蜜白糖", O31+W61, "")</f>
        <v/>
      </c>
      <c r="S47" s="457"/>
      <c r="T47" s="415"/>
      <c r="U47" s="280" t="s">
        <v>421</v>
      </c>
      <c r="V47" s="280"/>
      <c r="W47" s="280"/>
      <c r="X47" s="284">
        <v>1</v>
      </c>
      <c r="Y47" s="283">
        <f>Y43/X43</f>
        <v>1</v>
      </c>
      <c r="Z47" s="294">
        <f>Z43/X43</f>
        <v>1</v>
      </c>
      <c r="AB47" s="220"/>
      <c r="AC47" s="11"/>
    </row>
    <row r="48" spans="2:29" ht="17.25" thickBot="1" x14ac:dyDescent="0.35">
      <c r="B48" s="478"/>
      <c r="C48" s="60" t="s">
        <v>317</v>
      </c>
      <c r="D48" s="249"/>
      <c r="S48" s="457"/>
      <c r="T48" s="459"/>
      <c r="U48" s="295" t="s">
        <v>422</v>
      </c>
      <c r="V48" s="295"/>
      <c r="W48" s="295"/>
      <c r="X48" s="295"/>
      <c r="Y48" s="296">
        <v>1</v>
      </c>
      <c r="Z48" s="297">
        <f>Z43/Y43</f>
        <v>1</v>
      </c>
      <c r="AB48" s="220"/>
      <c r="AC48" s="11"/>
    </row>
    <row r="49" spans="2:29" x14ac:dyDescent="0.3">
      <c r="B49" s="478"/>
      <c r="C49" s="234" t="s">
        <v>316</v>
      </c>
      <c r="D49" s="249"/>
      <c r="S49" s="457"/>
      <c r="T49" s="414" t="s">
        <v>181</v>
      </c>
      <c r="U49" s="289" t="s">
        <v>354</v>
      </c>
      <c r="V49" s="290">
        <f>ROUNDDOWN(ROUNDDOWN(ROUNDDOWN(ROUNDDOWN(ROUNDDOWN(ROUNDDOWN(ROUNDDOWN(ROUNDDOWN(ROUNDDOWN(首頁!V4 * (1 + 首頁!V5 / 100), 0) * 首頁!V18, 0) * (首頁!AI10 / 100), 0) * 首頁!V25, 0) * 首頁!V27, 0) * (1 + 首頁!V28 / 100), 0) * 首頁!V29, 0) * 首頁!V30, 0) * 首頁!V31, 0)</f>
        <v>0</v>
      </c>
      <c r="W49" s="290">
        <f>ROUNDDOWN(ROUNDDOWN(ROUNDDOWN(ROUNDDOWN(ROUNDDOWN(ROUNDDOWN(ROUNDDOWN(ROUNDDOWN(ROUNDDOWN(首頁!AC4 * (1 + 首頁!AC5 / 100), 0) * 首頁!AC18, 0) * (首頁!AI10 / 100), 0) * 首頁!AC25, 0) * 首頁!AC27, 0) * (1 + 首頁!AC28 / 100), 0) * 首頁!AC29, 0) * 首頁!AC30, 0) * 首頁!AC31, 0)</f>
        <v>0</v>
      </c>
      <c r="X49" s="290">
        <f>ROUNDDOWN(ROUNDDOWN(ROUNDDOWN(ROUNDDOWN(ROUNDDOWN(ROUNDDOWN(ROUNDDOWN(ROUNDDOWN(ROUNDDOWN(首頁!AD4 * (1 + 首頁!AD5 / 100), 0) * 首頁!AD18, 0) * (首頁!AI10 / 100), 0) * 首頁!AD25, 0) * 首頁!AD27, 0) * (1 + 首頁!AD28 / 100), 0) * 首頁!AD29, 0) * 首頁!AD30, 0) * 首頁!AD31, 0)</f>
        <v>0</v>
      </c>
      <c r="Y49" s="290">
        <f>ROUNDDOWN(ROUNDDOWN(ROUNDDOWN(ROUNDDOWN(ROUNDDOWN(ROUNDDOWN(ROUNDDOWN(ROUNDDOWN(ROUNDDOWN(首頁!AE4 * (1 + 首頁!AE5 / 100), 0) * 首頁!AE18, 0) * (首頁!AI10 / 100), 0) * 首頁!AE25, 0) * 首頁!AE27, 0) * (1 + 首頁!AE28 / 100), 0) * 首頁!AE29, 0) * 首頁!AE30, 0) * 首頁!AE31, 0)</f>
        <v>0</v>
      </c>
      <c r="Z49" s="291">
        <f>ROUNDDOWN(ROUNDDOWN(ROUNDDOWN(ROUNDDOWN(ROUNDDOWN(ROUNDDOWN(ROUNDDOWN(ROUNDDOWN(ROUNDDOWN(首頁!AF4 * (1 + 首頁!AF5 / 100), 0) * 首頁!AF18, 0) * (首頁!AI10 / 100), 0) * 首頁!AF25, 0) * 首頁!AF27, 0) * (1 + 首頁!AF28 / 100), 0) * 首頁!AF29, 0) * 首頁!AF30, 0) * 首頁!AF31, 0)</f>
        <v>0</v>
      </c>
      <c r="AB49" s="11"/>
      <c r="AC49" s="11"/>
    </row>
    <row r="50" spans="2:29" x14ac:dyDescent="0.3">
      <c r="B50" s="478"/>
      <c r="C50" s="60" t="s">
        <v>320</v>
      </c>
      <c r="D50" s="249"/>
      <c r="S50" s="457"/>
      <c r="T50" s="415"/>
      <c r="U50" s="280" t="s">
        <v>439</v>
      </c>
      <c r="V50" s="287">
        <f>ROUNDDOWN(ROUNDDOWN(ROUNDDOWN(ROUNDDOWN(ROUNDDOWN(ROUNDDOWN(ROUNDDOWN(ROUNDDOWN(ROUNDDOWN(首頁!V4 * (1 + 首頁!V5 / 100), 0) * 首頁!V18, 0) * (首頁!V20 / 100), 0) * 首頁!V25, 0) * 首頁!V27, 0) * (1 + 首頁!V28 / 100), 0) * 首頁!V29, 0) * 首頁!V30, 0) * 首頁!V31, 0)</f>
        <v>0</v>
      </c>
      <c r="W50" s="287">
        <f>ROUNDDOWN(ROUNDDOWN(ROUNDDOWN(ROUNDDOWN(ROUNDDOWN(ROUNDDOWN(ROUNDDOWN(ROUNDDOWN(ROUNDDOWN(首頁!AC4 * (1 + 首頁!AC5 / 100), 0) * 首頁!AC18, 0) * (首頁!AC20 / 100), 0) * 首頁!AC25, 0) * 首頁!AC27, 0) * (1 + 首頁!AC28 / 100), 0) * 首頁!AC29, 0) * 首頁!AC30, 0) * 首頁!AC31, 0)</f>
        <v>0</v>
      </c>
      <c r="X50" s="287">
        <f>ROUNDDOWN(ROUNDDOWN(ROUNDDOWN(ROUNDDOWN(ROUNDDOWN(ROUNDDOWN(ROUNDDOWN(ROUNDDOWN(ROUNDDOWN(首頁!AD4 * (1 + 首頁!AD5 / 100), 0) * 首頁!AD18, 0) * (首頁!AD20 / 100), 0) * 首頁!AD25, 0) * 首頁!AD27, 0) * (1 + 首頁!AD28 / 100), 0) * 首頁!AD29, 0) * 首頁!AD30, 0) * 首頁!AD31, 0)</f>
        <v>0</v>
      </c>
      <c r="Y50" s="287">
        <f>ROUNDDOWN(ROUNDDOWN(ROUNDDOWN(ROUNDDOWN(ROUNDDOWN(ROUNDDOWN(ROUNDDOWN(ROUNDDOWN(ROUNDDOWN(首頁!AE4 * (1 + 首頁!AE5 / 100), 0) * 首頁!AE18, 0) * (首頁!AE20 / 100), 0) * 首頁!AE25, 0) * 首頁!AE27, 0) * (1 + 首頁!AE28 / 100), 0) * 首頁!AE29, 0) * 首頁!AE30, 0) * 首頁!AE31, 0)</f>
        <v>0</v>
      </c>
      <c r="Z50" s="292">
        <f>ROUNDDOWN(ROUNDDOWN(ROUNDDOWN(ROUNDDOWN(ROUNDDOWN(ROUNDDOWN(ROUNDDOWN(ROUNDDOWN(ROUNDDOWN(首頁!AF4 * (1 + 首頁!AF5 / 100), 0) * 首頁!AF18, 0) * (首頁!AF20 / 100), 0) * 首頁!AF25, 0) * 首頁!AF27, 0) * (1 + 首頁!AF28 / 100), 0) * 首頁!AF29, 0) * 首頁!AF30, 0) * 首頁!AF31, 0)</f>
        <v>0</v>
      </c>
      <c r="AB50" s="11"/>
      <c r="AC50" s="11"/>
    </row>
    <row r="51" spans="2:29" ht="17.25" thickBot="1" x14ac:dyDescent="0.35">
      <c r="B51" s="479"/>
      <c r="C51" s="251" t="s">
        <v>321</v>
      </c>
      <c r="D51" s="252"/>
      <c r="S51" s="457"/>
      <c r="T51" s="415"/>
      <c r="U51" s="280" t="s">
        <v>440</v>
      </c>
      <c r="V51" s="288">
        <f>(V19%*V20%+(100-V19)%*1)*V49</f>
        <v>0</v>
      </c>
      <c r="W51" s="288">
        <f>(AC19%*AC20%+(100-AC19)%*1)*W49</f>
        <v>0</v>
      </c>
      <c r="X51" s="286">
        <f t="shared" ref="X51:Z51" si="5">(AD19%*AD20%+(100-AD19)%*1)*X49</f>
        <v>0</v>
      </c>
      <c r="Y51" s="286">
        <f t="shared" si="5"/>
        <v>0</v>
      </c>
      <c r="Z51" s="293">
        <f t="shared" si="5"/>
        <v>0</v>
      </c>
      <c r="AB51" s="11"/>
      <c r="AC51" s="11"/>
    </row>
    <row r="52" spans="2:29" x14ac:dyDescent="0.3">
      <c r="B52" s="467" t="s">
        <v>463</v>
      </c>
      <c r="C52" s="247" t="s">
        <v>461</v>
      </c>
      <c r="D52" s="229"/>
      <c r="S52" s="457"/>
      <c r="T52" s="415" t="s">
        <v>358</v>
      </c>
      <c r="U52" s="280" t="s">
        <v>419</v>
      </c>
      <c r="V52" s="280">
        <v>1</v>
      </c>
      <c r="W52" s="283" t="e">
        <f>W50/V50</f>
        <v>#DIV/0!</v>
      </c>
      <c r="X52" s="283" t="e">
        <f>X50/V50</f>
        <v>#DIV/0!</v>
      </c>
      <c r="Y52" s="283" t="e">
        <f>Y50/V50</f>
        <v>#DIV/0!</v>
      </c>
      <c r="Z52" s="294" t="e">
        <f>Z50/V50</f>
        <v>#DIV/0!</v>
      </c>
      <c r="AB52" s="11"/>
      <c r="AC52" s="11"/>
    </row>
    <row r="53" spans="2:29" ht="17.25" thickBot="1" x14ac:dyDescent="0.35">
      <c r="B53" s="468"/>
      <c r="C53" s="253" t="s">
        <v>462</v>
      </c>
      <c r="D53" s="230"/>
      <c r="S53" s="457"/>
      <c r="T53" s="415"/>
      <c r="U53" s="280" t="s">
        <v>420</v>
      </c>
      <c r="V53" s="280"/>
      <c r="W53" s="280">
        <v>1</v>
      </c>
      <c r="X53" s="283" t="e">
        <f>X50/W50</f>
        <v>#DIV/0!</v>
      </c>
      <c r="Y53" s="283" t="e">
        <f>Y50/W50</f>
        <v>#DIV/0!</v>
      </c>
      <c r="Z53" s="294" t="e">
        <f>Z50/W50</f>
        <v>#DIV/0!</v>
      </c>
      <c r="AB53" s="11"/>
    </row>
    <row r="54" spans="2:29" x14ac:dyDescent="0.3">
      <c r="S54" s="457"/>
      <c r="T54" s="415"/>
      <c r="U54" s="280" t="s">
        <v>421</v>
      </c>
      <c r="V54" s="280"/>
      <c r="W54" s="280"/>
      <c r="X54" s="284">
        <v>1</v>
      </c>
      <c r="Y54" s="283" t="e">
        <f>Y50/X50</f>
        <v>#DIV/0!</v>
      </c>
      <c r="Z54" s="294" t="e">
        <f>Z50/X50</f>
        <v>#DIV/0!</v>
      </c>
      <c r="AB54" s="11"/>
    </row>
    <row r="55" spans="2:29" ht="17.25" thickBot="1" x14ac:dyDescent="0.35">
      <c r="J55" s="161"/>
      <c r="K55" s="161"/>
      <c r="S55" s="458"/>
      <c r="T55" s="459"/>
      <c r="U55" s="295" t="s">
        <v>422</v>
      </c>
      <c r="V55" s="295"/>
      <c r="W55" s="295"/>
      <c r="X55" s="295"/>
      <c r="Y55" s="296">
        <v>1</v>
      </c>
      <c r="Z55" s="297" t="e">
        <f>Z50/Y50</f>
        <v>#DIV/0!</v>
      </c>
      <c r="AB55" s="11"/>
    </row>
    <row r="56" spans="2:29" x14ac:dyDescent="0.3">
      <c r="AB56" s="11"/>
    </row>
    <row r="57" spans="2:29" ht="17.25" thickBot="1" x14ac:dyDescent="0.35">
      <c r="AB57" s="11"/>
    </row>
    <row r="58" spans="2:29" ht="17.25" thickBot="1" x14ac:dyDescent="0.35">
      <c r="W58" s="255" t="s">
        <v>511</v>
      </c>
    </row>
    <row r="59" spans="2:29" x14ac:dyDescent="0.3">
      <c r="T59" s="421" t="s">
        <v>474</v>
      </c>
      <c r="U59" s="263" t="s">
        <v>354</v>
      </c>
      <c r="V59" s="261">
        <f>ROUNDDOWN(ROUNDDOWN(ROUNDDOWN(ROUNDDOWN(ROUNDDOWN(ROUNDDOWN(ROUNDDOWN(ROUNDDOWN(ROUNDDOWN(首頁!V4 * (1 + 首頁!V5 / 100), 0) * 0.5, 0) * (首頁!AI10 / 100), 0) * 首頁!V25, 0) * 首頁!V27, 0) * (1 + 首頁!V28 / 100), 0) * 首頁!V29, 0) * 首頁!V30, 0) * 首頁!V31, 0)</f>
        <v>859</v>
      </c>
      <c r="W59" s="255">
        <f>ROUNDDOWN(ROUNDDOWN(ROUNDDOWN(ROUNDDOWN(ROUNDDOWN(ROUNDDOWN(ROUNDDOWN(ROUNDDOWN(ROUNDDOWN(首頁!V4 * (1 + 首頁!V5 / 100), 0) * 0.1, 0) * (首頁!AI10 / 100), 0) * 首頁!V25, 0) * 首頁!V27, 0) * (1 + 首頁!V28 / 100), 0) * 首頁!V29, 0) * 首頁!V30, 0) * 首頁!V31, 0)</f>
        <v>169</v>
      </c>
    </row>
    <row r="60" spans="2:29" x14ac:dyDescent="0.3">
      <c r="C60" s="346" t="s">
        <v>574</v>
      </c>
      <c r="D60" s="61" t="s">
        <v>573</v>
      </c>
      <c r="F60" s="279"/>
      <c r="G60" s="279"/>
      <c r="T60" s="422"/>
      <c r="U60" s="264" t="s">
        <v>439</v>
      </c>
      <c r="V60" s="262">
        <f>ROUNDDOWN(ROUNDDOWN(ROUNDDOWN(ROUNDDOWN(ROUNDDOWN(ROUNDDOWN(ROUNDDOWN(ROUNDDOWN(ROUNDDOWN(首頁!V4 * (1 + 首頁!V5 / 100), 0) * 0.5, 0) * (首頁!V10 / 100), 0) * 首頁!V25, 0) * 首頁!V27, 0) * (1 + 首頁!V28 / 100), 0) * 首頁!V29, 0) * 首頁!V30, 0) * 首頁!V31, 0)</f>
        <v>2922</v>
      </c>
      <c r="W60" s="256">
        <f>ROUNDDOWN(ROUNDDOWN(ROUNDDOWN(ROUNDDOWN(ROUNDDOWN(ROUNDDOWN(ROUNDDOWN(ROUNDDOWN(ROUNDDOWN(首頁!V4 * (1 + 首頁!V5 / 100), 0) * 0.1, 0) * (首頁!V10 / 100), 0) * 首頁!V25, 0) * 首頁!V27, 0) * (1 + 首頁!V28 / 100), 0) * 首頁!V29, 0) * 首頁!V30, 0) * 首頁!V31, 0)</f>
        <v>582</v>
      </c>
    </row>
    <row r="61" spans="2:29" ht="17.25" thickBot="1" x14ac:dyDescent="0.35">
      <c r="F61" s="279"/>
      <c r="G61" s="279"/>
      <c r="T61" s="423"/>
      <c r="U61" s="265" t="s">
        <v>440</v>
      </c>
      <c r="V61" s="268">
        <f>(V9%*V10%+(100-V9)%*1)*V59</f>
        <v>2869.06</v>
      </c>
      <c r="W61" s="257">
        <f>(V9%*V10%+(100-V9)%*1)*W59</f>
        <v>564.45999999999992</v>
      </c>
    </row>
    <row r="62" spans="2:29" x14ac:dyDescent="0.3">
      <c r="F62" s="279"/>
      <c r="G62" s="279"/>
      <c r="W62" s="116"/>
      <c r="X62" s="116"/>
      <c r="Y62" s="116"/>
      <c r="Z62" s="116"/>
    </row>
    <row r="63" spans="2:29" x14ac:dyDescent="0.3">
      <c r="F63" s="279"/>
      <c r="G63" s="279"/>
      <c r="U63" s="116"/>
      <c r="W63" s="116"/>
      <c r="X63" s="116"/>
      <c r="Y63" s="116"/>
      <c r="Z63" s="116"/>
    </row>
    <row r="64" spans="2:29" x14ac:dyDescent="0.3">
      <c r="F64" s="279"/>
      <c r="G64" s="279"/>
      <c r="U64" s="116"/>
      <c r="W64" s="116"/>
      <c r="X64" s="116"/>
      <c r="Y64" s="116"/>
      <c r="Z64" s="116"/>
    </row>
    <row r="65" spans="2:26" ht="17.25" thickBot="1" x14ac:dyDescent="0.35">
      <c r="F65" s="279"/>
      <c r="G65" s="279"/>
      <c r="U65" s="116"/>
      <c r="W65" s="116"/>
      <c r="X65" s="116"/>
      <c r="Y65" s="116"/>
      <c r="Z65" s="116"/>
    </row>
    <row r="66" spans="2:26" ht="17.25" thickBot="1" x14ac:dyDescent="0.35">
      <c r="B66" s="400" t="s">
        <v>650</v>
      </c>
      <c r="C66" s="401" t="s">
        <v>651</v>
      </c>
      <c r="F66" s="279"/>
      <c r="G66" s="279"/>
      <c r="U66" s="116"/>
      <c r="W66" s="116"/>
      <c r="X66" s="116"/>
      <c r="Y66" s="116"/>
      <c r="Z66" s="116"/>
    </row>
    <row r="67" spans="2:26" x14ac:dyDescent="0.3">
      <c r="U67" s="116"/>
      <c r="W67" s="116"/>
      <c r="X67" s="116"/>
      <c r="Y67" s="116"/>
      <c r="Z67" s="116"/>
    </row>
    <row r="68" spans="2:26" x14ac:dyDescent="0.3">
      <c r="U68" s="116"/>
      <c r="W68" s="116"/>
      <c r="X68" s="116"/>
      <c r="Y68" s="116"/>
      <c r="Z68" s="116"/>
    </row>
    <row r="69" spans="2:26" x14ac:dyDescent="0.3">
      <c r="U69" s="116"/>
      <c r="W69" s="116"/>
      <c r="X69" s="116"/>
      <c r="Y69" s="116"/>
      <c r="Z69" s="116"/>
    </row>
    <row r="70" spans="2:26" x14ac:dyDescent="0.3">
      <c r="U70" s="116"/>
      <c r="W70" s="116"/>
      <c r="X70" s="116"/>
      <c r="Y70" s="116"/>
      <c r="Z70" s="116"/>
    </row>
    <row r="71" spans="2:26" x14ac:dyDescent="0.3">
      <c r="U71" s="116"/>
      <c r="W71" s="116"/>
      <c r="X71" s="116"/>
      <c r="Y71" s="116"/>
      <c r="Z71" s="116"/>
    </row>
    <row r="72" spans="2:26" x14ac:dyDescent="0.3">
      <c r="U72" s="116"/>
      <c r="W72" s="116"/>
      <c r="X72" s="116"/>
      <c r="Y72" s="116"/>
      <c r="Z72" s="116"/>
    </row>
    <row r="73" spans="2:26" x14ac:dyDescent="0.3">
      <c r="D73" s="110"/>
      <c r="U73" s="116"/>
      <c r="W73" s="116"/>
      <c r="X73" s="116"/>
      <c r="Y73" s="116"/>
      <c r="Z73" s="116"/>
    </row>
    <row r="74" spans="2:26" x14ac:dyDescent="0.3">
      <c r="D74" s="110"/>
      <c r="U74" s="116"/>
      <c r="W74" s="116"/>
      <c r="X74" s="116"/>
      <c r="Y74" s="116"/>
      <c r="Z74" s="116"/>
    </row>
    <row r="75" spans="2:26" x14ac:dyDescent="0.3">
      <c r="D75" s="110"/>
      <c r="U75" s="116"/>
      <c r="W75" s="116"/>
      <c r="X75" s="116"/>
      <c r="Y75" s="116"/>
      <c r="Z75" s="116"/>
    </row>
    <row r="76" spans="2:26" x14ac:dyDescent="0.3">
      <c r="D76" s="110"/>
      <c r="U76" s="116"/>
      <c r="W76" s="116"/>
      <c r="X76" s="116"/>
      <c r="Y76" s="116"/>
      <c r="Z76" s="116"/>
    </row>
    <row r="77" spans="2:26" x14ac:dyDescent="0.3">
      <c r="D77" s="110"/>
      <c r="U77" s="116"/>
      <c r="W77" s="116"/>
      <c r="X77" s="116"/>
      <c r="Y77" s="116"/>
      <c r="Z77" s="116"/>
    </row>
    <row r="78" spans="2:26" x14ac:dyDescent="0.3">
      <c r="U78" s="116"/>
      <c r="W78" s="116"/>
      <c r="X78" s="116"/>
      <c r="Y78" s="116"/>
      <c r="Z78" s="116"/>
    </row>
    <row r="82" spans="9:15" ht="17.25" thickBot="1" x14ac:dyDescent="0.35"/>
    <row r="83" spans="9:15" x14ac:dyDescent="0.3">
      <c r="I83" s="444" t="s">
        <v>423</v>
      </c>
      <c r="J83" s="445"/>
      <c r="K83" s="445"/>
      <c r="L83" s="445"/>
      <c r="M83" s="445"/>
      <c r="N83" s="445"/>
      <c r="O83" s="446"/>
    </row>
    <row r="84" spans="9:15" x14ac:dyDescent="0.3">
      <c r="I84" s="447"/>
      <c r="J84" s="448"/>
      <c r="K84" s="448"/>
      <c r="L84" s="448"/>
      <c r="M84" s="448"/>
      <c r="N84" s="448"/>
      <c r="O84" s="449"/>
    </row>
    <row r="85" spans="9:15" x14ac:dyDescent="0.3">
      <c r="I85" s="447"/>
      <c r="J85" s="448"/>
      <c r="K85" s="448"/>
      <c r="L85" s="448"/>
      <c r="M85" s="448"/>
      <c r="N85" s="448"/>
      <c r="O85" s="449"/>
    </row>
    <row r="86" spans="9:15" x14ac:dyDescent="0.3">
      <c r="I86" s="447"/>
      <c r="J86" s="448"/>
      <c r="K86" s="448"/>
      <c r="L86" s="448"/>
      <c r="M86" s="448"/>
      <c r="N86" s="448"/>
      <c r="O86" s="449"/>
    </row>
    <row r="87" spans="9:15" ht="17.25" thickBot="1" x14ac:dyDescent="0.35">
      <c r="I87" s="450"/>
      <c r="J87" s="451"/>
      <c r="K87" s="451"/>
      <c r="L87" s="451"/>
      <c r="M87" s="451"/>
      <c r="N87" s="451"/>
      <c r="O87" s="452"/>
    </row>
  </sheetData>
  <mergeCells count="51">
    <mergeCell ref="J8:J9"/>
    <mergeCell ref="T52:T55"/>
    <mergeCell ref="B52:B53"/>
    <mergeCell ref="T5:U5"/>
    <mergeCell ref="M6:M7"/>
    <mergeCell ref="I14:I18"/>
    <mergeCell ref="I20:I22"/>
    <mergeCell ref="B18:B20"/>
    <mergeCell ref="B45:B51"/>
    <mergeCell ref="B5:B8"/>
    <mergeCell ref="I24:K24"/>
    <mergeCell ref="I83:O87"/>
    <mergeCell ref="T26:T27"/>
    <mergeCell ref="T29:U29"/>
    <mergeCell ref="T30:U30"/>
    <mergeCell ref="M8:M9"/>
    <mergeCell ref="M10:M11"/>
    <mergeCell ref="J10:J11"/>
    <mergeCell ref="M23:M25"/>
    <mergeCell ref="S35:S55"/>
    <mergeCell ref="T45:T48"/>
    <mergeCell ref="T49:T51"/>
    <mergeCell ref="T42:T44"/>
    <mergeCell ref="S2:S31"/>
    <mergeCell ref="T38:T41"/>
    <mergeCell ref="T2:U2"/>
    <mergeCell ref="I37:I40"/>
    <mergeCell ref="T3:U3"/>
    <mergeCell ref="M26:M28"/>
    <mergeCell ref="M29:M31"/>
    <mergeCell ref="T59:T61"/>
    <mergeCell ref="B2:B4"/>
    <mergeCell ref="K6:L7"/>
    <mergeCell ref="K8:L9"/>
    <mergeCell ref="K10:L11"/>
    <mergeCell ref="L12:Q12"/>
    <mergeCell ref="M5:Q5"/>
    <mergeCell ref="M3:M4"/>
    <mergeCell ref="B14:B15"/>
    <mergeCell ref="I2:I12"/>
    <mergeCell ref="J2:L2"/>
    <mergeCell ref="J3:J4"/>
    <mergeCell ref="J6:J7"/>
    <mergeCell ref="T4:U4"/>
    <mergeCell ref="T6:T10"/>
    <mergeCell ref="T11:T15"/>
    <mergeCell ref="T16:T20"/>
    <mergeCell ref="T35:T37"/>
    <mergeCell ref="T21:T25"/>
    <mergeCell ref="T28:U28"/>
    <mergeCell ref="T31:U31"/>
  </mergeCells>
  <phoneticPr fontId="1" type="noConversion"/>
  <dataValidations count="8">
    <dataValidation type="list" allowBlank="1" showInputMessage="1" showErrorMessage="1" sqref="D5" xr:uid="{B83275B3-9E15-444E-A771-C9FB9582F5B4}">
      <formula1>INDIRECT(G3)</formula1>
    </dataValidation>
    <dataValidation type="decimal" allowBlank="1" showInputMessage="1" showErrorMessage="1" sqref="Q3 Q6:Q11" xr:uid="{55CFD713-223D-4649-A083-A8CABC2074AB}">
      <formula1>O3</formula1>
      <formula2>P3</formula2>
    </dataValidation>
    <dataValidation type="decimal" allowBlank="1" showInputMessage="1" showErrorMessage="1" sqref="D8" xr:uid="{3A3905D2-2A81-4A24-9B3E-9FC55003F906}">
      <formula1>0</formula1>
      <formula2>D7</formula2>
    </dataValidation>
    <dataValidation type="decimal" allowBlank="1" showInputMessage="1" showErrorMessage="1" sqref="W22:X22" xr:uid="{92B4D53C-BB76-4F3F-970C-500E2B1A20DB}">
      <formula1>0</formula1>
      <formula2>80</formula2>
    </dataValidation>
    <dataValidation type="list" allowBlank="1" showInputMessage="1" showErrorMessage="1" sqref="K37" xr:uid="{0C463190-2C69-4A87-BBF8-CAFD2F0C5C67}">
      <formula1>INDIRECT($G$38)</formula1>
    </dataValidation>
    <dataValidation type="list" allowBlank="1" showInputMessage="1" showErrorMessage="1" sqref="K38" xr:uid="{3F0BCF89-CF42-4A2A-A37F-D0F217D29662}">
      <formula1>INDIRECT($G$39)</formula1>
    </dataValidation>
    <dataValidation type="list" allowBlank="1" showInputMessage="1" showErrorMessage="1" sqref="K39" xr:uid="{1AF978E5-1E0F-4196-985E-C3B5A0546BDE}">
      <formula1>INDIRECT($G$40)</formula1>
    </dataValidation>
    <dataValidation type="list" allowBlank="1" showInputMessage="1" showErrorMessage="1" sqref="K40" xr:uid="{3C63452B-19B2-4CE9-B67A-3FD6ABF1A286}">
      <formula1>INDIRECT($G$41)</formula1>
    </dataValidation>
  </dataValidations>
  <pageMargins left="0.7" right="0.7" top="0.75" bottom="0.75" header="0.3" footer="0.3"/>
  <pageSetup paperSize="9" orientation="portrait" horizontalDpi="1200" verticalDpi="1200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41" r:id="rId4" name="Check Box 17">
              <controlPr defaultSize="0" autoFill="0" autoLine="0" autoPict="0">
                <anchor moveWithCells="1">
                  <from>
                    <xdr:col>11</xdr:col>
                    <xdr:colOff>457200</xdr:colOff>
                    <xdr:row>1</xdr:row>
                    <xdr:rowOff>200025</xdr:rowOff>
                  </from>
                  <to>
                    <xdr:col>11</xdr:col>
                    <xdr:colOff>657225</xdr:colOff>
                    <xdr:row>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0" r:id="rId5" name="Check Box 6">
              <controlPr defaultSize="0" autoFill="0" autoLine="0" autoPict="0">
                <anchor moveWithCells="1">
                  <from>
                    <xdr:col>10</xdr:col>
                    <xdr:colOff>333375</xdr:colOff>
                    <xdr:row>10</xdr:row>
                    <xdr:rowOff>180975</xdr:rowOff>
                  </from>
                  <to>
                    <xdr:col>10</xdr:col>
                    <xdr:colOff>533400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1" r:id="rId6" name="Check Box 57">
              <controlPr defaultSize="0" autoFill="0" autoLine="0" autoPict="0">
                <anchor moveWithCells="1">
                  <from>
                    <xdr:col>10</xdr:col>
                    <xdr:colOff>333375</xdr:colOff>
                    <xdr:row>12</xdr:row>
                    <xdr:rowOff>190500</xdr:rowOff>
                  </from>
                  <to>
                    <xdr:col>10</xdr:col>
                    <xdr:colOff>533400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82" r:id="rId7" name="Check Box 58">
              <controlPr defaultSize="0" autoFill="0" autoLine="0" autoPict="0">
                <anchor moveWithCells="1">
                  <from>
                    <xdr:col>10</xdr:col>
                    <xdr:colOff>333375</xdr:colOff>
                    <xdr:row>13</xdr:row>
                    <xdr:rowOff>200025</xdr:rowOff>
                  </from>
                  <to>
                    <xdr:col>10</xdr:col>
                    <xdr:colOff>533400</xdr:colOff>
                    <xdr:row>15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7" r:id="rId8" name="Check Box 133">
              <controlPr defaultSize="0" autoFill="0" autoLine="0" autoPict="0">
                <anchor moveWithCells="1">
                  <from>
                    <xdr:col>14</xdr:col>
                    <xdr:colOff>209550</xdr:colOff>
                    <xdr:row>12</xdr:row>
                    <xdr:rowOff>190500</xdr:rowOff>
                  </from>
                  <to>
                    <xdr:col>14</xdr:col>
                    <xdr:colOff>419100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6" r:id="rId9" name="Check Box 142">
              <controlPr defaultSize="0" autoFill="0" autoLine="0" autoPict="0">
                <anchor moveWithCells="1">
                  <from>
                    <xdr:col>14</xdr:col>
                    <xdr:colOff>209550</xdr:colOff>
                    <xdr:row>13</xdr:row>
                    <xdr:rowOff>190500</xdr:rowOff>
                  </from>
                  <to>
                    <xdr:col>14</xdr:col>
                    <xdr:colOff>419100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8" r:id="rId10" name="Check Box 144">
              <controlPr defaultSize="0" autoFill="0" autoLine="0" autoPict="0">
                <anchor moveWithCells="1">
                  <from>
                    <xdr:col>14</xdr:col>
                    <xdr:colOff>209550</xdr:colOff>
                    <xdr:row>14</xdr:row>
                    <xdr:rowOff>190500</xdr:rowOff>
                  </from>
                  <to>
                    <xdr:col>14</xdr:col>
                    <xdr:colOff>419100</xdr:colOff>
                    <xdr:row>15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67" r:id="rId11" name="Check Box 143">
              <controlPr defaultSize="0" autoFill="0" autoLine="0" autoPict="0">
                <anchor moveWithCells="1">
                  <from>
                    <xdr:col>10</xdr:col>
                    <xdr:colOff>333375</xdr:colOff>
                    <xdr:row>14</xdr:row>
                    <xdr:rowOff>200025</xdr:rowOff>
                  </from>
                  <to>
                    <xdr:col>10</xdr:col>
                    <xdr:colOff>533400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23" r:id="rId12" name="Check Box 199">
              <controlPr defaultSize="0" autoFill="0" autoLine="0" autoPict="0">
                <anchor moveWithCells="1">
                  <from>
                    <xdr:col>10</xdr:col>
                    <xdr:colOff>333375</xdr:colOff>
                    <xdr:row>15</xdr:row>
                    <xdr:rowOff>200025</xdr:rowOff>
                  </from>
                  <to>
                    <xdr:col>10</xdr:col>
                    <xdr:colOff>533400</xdr:colOff>
                    <xdr:row>17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0" r:id="rId13" name="Check Box 216">
              <controlPr defaultSize="0" autoFill="0" autoLine="0" autoPict="0">
                <anchor moveWithCells="1">
                  <from>
                    <xdr:col>10</xdr:col>
                    <xdr:colOff>333375</xdr:colOff>
                    <xdr:row>16</xdr:row>
                    <xdr:rowOff>200025</xdr:rowOff>
                  </from>
                  <to>
                    <xdr:col>10</xdr:col>
                    <xdr:colOff>533400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3" r:id="rId14" name="Check Box 219">
              <controlPr defaultSize="0" autoFill="0" autoLine="0" autoPict="0">
                <anchor moveWithCells="1">
                  <from>
                    <xdr:col>14</xdr:col>
                    <xdr:colOff>209550</xdr:colOff>
                    <xdr:row>16</xdr:row>
                    <xdr:rowOff>200025</xdr:rowOff>
                  </from>
                  <to>
                    <xdr:col>14</xdr:col>
                    <xdr:colOff>419100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4" r:id="rId15" name="Check Box 220">
              <controlPr defaultSize="0" autoFill="0" autoLine="0" autoPict="0">
                <anchor moveWithCells="1">
                  <from>
                    <xdr:col>10</xdr:col>
                    <xdr:colOff>333375</xdr:colOff>
                    <xdr:row>18</xdr:row>
                    <xdr:rowOff>200025</xdr:rowOff>
                  </from>
                  <to>
                    <xdr:col>10</xdr:col>
                    <xdr:colOff>533400</xdr:colOff>
                    <xdr:row>20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5" r:id="rId16" name="Check Box 221">
              <controlPr defaultSize="0" autoFill="0" autoLine="0" autoPict="0">
                <anchor moveWithCells="1">
                  <from>
                    <xdr:col>10</xdr:col>
                    <xdr:colOff>333375</xdr:colOff>
                    <xdr:row>20</xdr:row>
                    <xdr:rowOff>0</xdr:rowOff>
                  </from>
                  <to>
                    <xdr:col>10</xdr:col>
                    <xdr:colOff>533400</xdr:colOff>
                    <xdr:row>21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70" r:id="rId17" name="Check Box 146">
              <controlPr defaultSize="0" autoFill="0" autoLine="0" autoPict="0">
                <anchor moveWithCells="1">
                  <from>
                    <xdr:col>10</xdr:col>
                    <xdr:colOff>333375</xdr:colOff>
                    <xdr:row>20</xdr:row>
                    <xdr:rowOff>190500</xdr:rowOff>
                  </from>
                  <to>
                    <xdr:col>10</xdr:col>
                    <xdr:colOff>542925</xdr:colOff>
                    <xdr:row>21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2" r:id="rId18" name="Check Box 38">
              <controlPr defaultSize="0" autoFill="0" autoLine="0" autoPict="0">
                <anchor moveWithCells="1">
                  <from>
                    <xdr:col>3</xdr:col>
                    <xdr:colOff>714375</xdr:colOff>
                    <xdr:row>43</xdr:row>
                    <xdr:rowOff>171450</xdr:rowOff>
                  </from>
                  <to>
                    <xdr:col>3</xdr:col>
                    <xdr:colOff>914400</xdr:colOff>
                    <xdr:row>45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7" r:id="rId19" name="Check Box 103">
              <controlPr defaultSize="0" autoFill="0" autoLine="0" autoPict="0">
                <anchor moveWithCells="1">
                  <from>
                    <xdr:col>3</xdr:col>
                    <xdr:colOff>714375</xdr:colOff>
                    <xdr:row>46</xdr:row>
                    <xdr:rowOff>190500</xdr:rowOff>
                  </from>
                  <to>
                    <xdr:col>3</xdr:col>
                    <xdr:colOff>914400</xdr:colOff>
                    <xdr:row>48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28" r:id="rId20" name="Check Box 104">
              <controlPr defaultSize="0" autoFill="0" autoLine="0" autoPict="0">
                <anchor moveWithCells="1">
                  <from>
                    <xdr:col>3</xdr:col>
                    <xdr:colOff>714375</xdr:colOff>
                    <xdr:row>47</xdr:row>
                    <xdr:rowOff>180975</xdr:rowOff>
                  </from>
                  <to>
                    <xdr:col>3</xdr:col>
                    <xdr:colOff>914400</xdr:colOff>
                    <xdr:row>49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0" r:id="rId21" name="Check Box 116">
              <controlPr defaultSize="0" autoFill="0" autoLine="0" autoPict="0">
                <anchor moveWithCells="1">
                  <from>
                    <xdr:col>3</xdr:col>
                    <xdr:colOff>714375</xdr:colOff>
                    <xdr:row>48</xdr:row>
                    <xdr:rowOff>190500</xdr:rowOff>
                  </from>
                  <to>
                    <xdr:col>3</xdr:col>
                    <xdr:colOff>914400</xdr:colOff>
                    <xdr:row>50</xdr:row>
                    <xdr:rowOff>38100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1" r:id="rId22" name="Check Box 117">
              <controlPr defaultSize="0" autoFill="0" autoLine="0" autoPict="0">
                <anchor moveWithCells="1">
                  <from>
                    <xdr:col>3</xdr:col>
                    <xdr:colOff>714375</xdr:colOff>
                    <xdr:row>49</xdr:row>
                    <xdr:rowOff>180975</xdr:rowOff>
                  </from>
                  <to>
                    <xdr:col>3</xdr:col>
                    <xdr:colOff>914400</xdr:colOff>
                    <xdr:row>51</xdr:row>
                    <xdr:rowOff>9525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7" r:id="rId23" name="Check Box 193">
              <controlPr defaultSize="0" autoFill="0" autoLine="0" autoPict="0">
                <anchor moveWithCells="1">
                  <from>
                    <xdr:col>3</xdr:col>
                    <xdr:colOff>714375</xdr:colOff>
                    <xdr:row>50</xdr:row>
                    <xdr:rowOff>190500</xdr:rowOff>
                  </from>
                  <to>
                    <xdr:col>3</xdr:col>
                    <xdr:colOff>914400</xdr:colOff>
                    <xdr:row>52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18" r:id="rId24" name="Check Box 194">
              <controlPr defaultSize="0" autoFill="0" autoLine="0" autoPict="0">
                <anchor moveWithCells="1">
                  <from>
                    <xdr:col>3</xdr:col>
                    <xdr:colOff>714375</xdr:colOff>
                    <xdr:row>51</xdr:row>
                    <xdr:rowOff>200025</xdr:rowOff>
                  </from>
                  <to>
                    <xdr:col>3</xdr:col>
                    <xdr:colOff>914400</xdr:colOff>
                    <xdr:row>53</xdr:row>
                    <xdr:rowOff>28575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8" r:id="rId25" name="Check Box 44">
              <controlPr defaultSize="0" autoFill="0" autoLine="0" autoPict="0">
                <anchor moveWithCells="1">
                  <from>
                    <xdr:col>2</xdr:col>
                    <xdr:colOff>485775</xdr:colOff>
                    <xdr:row>14</xdr:row>
                    <xdr:rowOff>180975</xdr:rowOff>
                  </from>
                  <to>
                    <xdr:col>2</xdr:col>
                    <xdr:colOff>685800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8" r:id="rId26" name="Check Box 124">
              <controlPr defaultSize="0" autoFill="0" autoLine="0" autoPict="0">
                <anchor moveWithCells="1">
                  <from>
                    <xdr:col>3</xdr:col>
                    <xdr:colOff>1257300</xdr:colOff>
                    <xdr:row>16</xdr:row>
                    <xdr:rowOff>200025</xdr:rowOff>
                  </from>
                  <to>
                    <xdr:col>3</xdr:col>
                    <xdr:colOff>1457325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55" r:id="rId27" name="Check Box 131">
              <controlPr defaultSize="0" autoFill="0" autoLine="0" autoPict="0">
                <anchor moveWithCells="1">
                  <from>
                    <xdr:col>3</xdr:col>
                    <xdr:colOff>1257300</xdr:colOff>
                    <xdr:row>17</xdr:row>
                    <xdr:rowOff>190500</xdr:rowOff>
                  </from>
                  <to>
                    <xdr:col>3</xdr:col>
                    <xdr:colOff>1457325</xdr:colOff>
                    <xdr:row>18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241" r:id="rId28" name="Check Box 217">
              <controlPr defaultSize="0" autoFill="0" autoLine="0" autoPict="0">
                <anchor moveWithCells="1">
                  <from>
                    <xdr:col>3</xdr:col>
                    <xdr:colOff>1257300</xdr:colOff>
                    <xdr:row>18</xdr:row>
                    <xdr:rowOff>200025</xdr:rowOff>
                  </from>
                  <to>
                    <xdr:col>3</xdr:col>
                    <xdr:colOff>1457325</xdr:colOff>
                    <xdr:row>20</xdr:row>
                    <xdr:rowOff>9525</xdr:rowOff>
                  </to>
                </anchor>
              </controlPr>
            </control>
          </mc:Choice>
        </mc:AlternateContent>
      </controls>
    </mc:Choice>
  </mc:AlternateContent>
  <extLst>
    <ext xmlns:x14="http://schemas.microsoft.com/office/spreadsheetml/2009/9/main" uri="{CCE6A557-97BC-4b89-ADB6-D9C93CAAB3DF}">
      <x14:dataValidations xmlns:xm="http://schemas.microsoft.com/office/excel/2006/main" count="13">
        <x14:dataValidation type="list" allowBlank="1" showInputMessage="1" showErrorMessage="1" xr:uid="{C0CFA990-4FE4-4959-8239-42B3639BB155}">
          <x14:formula1>
            <xm:f>法寶卡!$F$3:$J$3</xm:f>
          </x14:formula1>
          <xm:sqref>D4 D6 M3:M4 M6:M11</xm:sqref>
        </x14:dataValidation>
        <x14:dataValidation type="list" allowBlank="1" showInputMessage="1" showErrorMessage="1" xr:uid="{608DA2E2-6FC2-4BD3-A4B1-D23821952504}">
          <x14:formula1>
            <xm:f>角色與等級!$B$4:$B$32</xm:f>
          </x14:formula1>
          <xm:sqref>D3</xm:sqref>
        </x14:dataValidation>
        <x14:dataValidation type="list" allowBlank="1" showInputMessage="1" showErrorMessage="1" xr:uid="{9F972709-7924-42AA-969D-9A08147F9F7A}">
          <x14:formula1>
            <xm:f>潛能數據!$C$4:$C$14</xm:f>
          </x14:formula1>
          <xm:sqref>N3:N4</xm:sqref>
        </x14:dataValidation>
        <x14:dataValidation type="list" allowBlank="1" showInputMessage="1" showErrorMessage="1" xr:uid="{8AFE5F7B-2141-4880-9372-EF89304660A0}">
          <x14:formula1>
            <xm:f>潛能數據!$G$4:$G$14</xm:f>
          </x14:formula1>
          <xm:sqref>N6:N7</xm:sqref>
        </x14:dataValidation>
        <x14:dataValidation type="list" allowBlank="1" showInputMessage="1" showErrorMessage="1" xr:uid="{52703936-DF09-47EE-8045-92DC66F7C850}">
          <x14:formula1>
            <xm:f>套裝!$C$6:$C$25</xm:f>
          </x14:formula1>
          <xm:sqref>E16:E19</xm:sqref>
        </x14:dataValidation>
        <x14:dataValidation type="list" allowBlank="1" showInputMessage="1" showErrorMessage="1" xr:uid="{59C5F182-9F81-4640-82C0-767D135A1510}">
          <x14:formula1>
            <xm:f>敵人防禦及狀態!$B$3:$B$24</xm:f>
          </x14:formula1>
          <xm:sqref>D14</xm:sqref>
        </x14:dataValidation>
        <x14:dataValidation type="list" showInputMessage="1" showErrorMessage="1" xr:uid="{748A5BF2-1757-4E93-84D8-3B06C78BDD40}">
          <x14:formula1>
            <xm:f>套裝!$W$7:$W$18</xm:f>
          </x14:formula1>
          <xm:sqref>L5</xm:sqref>
        </x14:dataValidation>
        <x14:dataValidation type="list" allowBlank="1" showInputMessage="1" showErrorMessage="1" xr:uid="{7AF808B8-B8D8-4542-A540-67EDB1AEB262}">
          <x14:formula1>
            <xm:f>法寶卡!$E$25:$E$27</xm:f>
          </x14:formula1>
          <xm:sqref>D47</xm:sqref>
        </x14:dataValidation>
        <x14:dataValidation type="list" allowBlank="1" showInputMessage="1" showErrorMessage="1" xr:uid="{004535FB-096D-4512-8896-5988A662057F}">
          <x14:formula1>
            <xm:f>潛能數據!$K$4:$K$14</xm:f>
          </x14:formula1>
          <xm:sqref>N8:N11</xm:sqref>
        </x14:dataValidation>
        <x14:dataValidation type="list" allowBlank="1" showInputMessage="1" showErrorMessage="1" xr:uid="{F57354AC-8B95-4769-A5E1-5C799EA22736}">
          <x14:formula1>
            <xm:f>IF(G7=TRUE,FALSE,武器!$P$4:$P$9)</xm:f>
          </x14:formula1>
          <xm:sqref>L4</xm:sqref>
        </x14:dataValidation>
        <x14:dataValidation type="list" showInputMessage="1" showErrorMessage="1" xr:uid="{4169BB3F-FE34-4375-A722-82987ED6430E}">
          <x14:formula1>
            <xm:f>套裝!$W$7:$W$24</xm:f>
          </x14:formula1>
          <xm:sqref>K5</xm:sqref>
        </x14:dataValidation>
        <x14:dataValidation type="list" allowBlank="1" showInputMessage="1" showErrorMessage="1" xr:uid="{7D2CA212-A486-4EAC-9CC0-E30FDFD1AA40}">
          <x14:formula1>
            <xm:f>法寶卡!$X$3:$X$10</xm:f>
          </x14:formula1>
          <xm:sqref>D46</xm:sqref>
        </x14:dataValidation>
        <x14:dataValidation type="list" allowBlank="1" showInputMessage="1" showErrorMessage="1" xr:uid="{A2194554-A7A6-4246-81F3-66FFB8290314}">
          <x14:formula1>
            <xm:f>套裝!$X$7:$X$12</xm:f>
          </x14:formula1>
          <xm:sqref>Q17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2BAC6C-2CBA-458D-9574-53045C0F8CA9}">
  <sheetPr codeName="工作表2"/>
  <dimension ref="B3:Q20"/>
  <sheetViews>
    <sheetView zoomScale="130" zoomScaleNormal="130" workbookViewId="0">
      <selection activeCell="C19" sqref="C19"/>
    </sheetView>
  </sheetViews>
  <sheetFormatPr defaultRowHeight="15.75" x14ac:dyDescent="0.25"/>
  <cols>
    <col min="3" max="3" width="15.7109375" customWidth="1"/>
    <col min="7" max="7" width="16.140625" customWidth="1"/>
    <col min="10" max="10" width="15.5703125" customWidth="1"/>
    <col min="11" max="11" width="16.42578125" customWidth="1"/>
    <col min="15" max="15" width="16.85546875" customWidth="1"/>
  </cols>
  <sheetData>
    <row r="3" spans="2:17" ht="16.5" thickBot="1" x14ac:dyDescent="0.3"/>
    <row r="4" spans="2:17" ht="16.5" x14ac:dyDescent="0.25">
      <c r="B4" s="605" t="s">
        <v>4</v>
      </c>
      <c r="C4" s="26" t="s">
        <v>0</v>
      </c>
      <c r="D4" s="26">
        <v>11</v>
      </c>
      <c r="E4" s="27">
        <v>20</v>
      </c>
      <c r="F4" s="605" t="s">
        <v>81</v>
      </c>
      <c r="G4" s="26" t="s">
        <v>0</v>
      </c>
      <c r="H4" s="26">
        <v>11</v>
      </c>
      <c r="I4" s="27">
        <v>20</v>
      </c>
      <c r="J4" s="605" t="s">
        <v>82</v>
      </c>
      <c r="K4" s="26" t="s">
        <v>0</v>
      </c>
      <c r="L4" s="26">
        <v>11</v>
      </c>
      <c r="M4" s="27">
        <v>20</v>
      </c>
      <c r="N4" s="605" t="s">
        <v>83</v>
      </c>
      <c r="O4" s="26" t="s">
        <v>0</v>
      </c>
      <c r="P4" s="26">
        <v>11</v>
      </c>
      <c r="Q4" s="27">
        <v>20</v>
      </c>
    </row>
    <row r="5" spans="2:17" ht="16.5" x14ac:dyDescent="0.25">
      <c r="B5" s="536"/>
      <c r="C5" s="16" t="s">
        <v>116</v>
      </c>
      <c r="D5" s="16">
        <v>11</v>
      </c>
      <c r="E5" s="25">
        <v>20</v>
      </c>
      <c r="F5" s="536"/>
      <c r="G5" s="16" t="s">
        <v>116</v>
      </c>
      <c r="H5" s="16">
        <v>11</v>
      </c>
      <c r="I5" s="25">
        <v>20</v>
      </c>
      <c r="J5" s="536"/>
      <c r="K5" s="16" t="s">
        <v>116</v>
      </c>
      <c r="L5" s="16">
        <v>11</v>
      </c>
      <c r="M5" s="25">
        <v>20</v>
      </c>
      <c r="N5" s="536"/>
      <c r="O5" s="16" t="s">
        <v>116</v>
      </c>
      <c r="P5" s="16">
        <v>11</v>
      </c>
      <c r="Q5" s="25">
        <v>20</v>
      </c>
    </row>
    <row r="6" spans="2:17" ht="16.5" x14ac:dyDescent="0.25">
      <c r="B6" s="536"/>
      <c r="C6" s="16" t="s">
        <v>51</v>
      </c>
      <c r="D6" s="16">
        <v>11</v>
      </c>
      <c r="E6" s="25">
        <v>20</v>
      </c>
      <c r="F6" s="536"/>
      <c r="G6" s="16" t="s">
        <v>51</v>
      </c>
      <c r="H6" s="16">
        <v>11</v>
      </c>
      <c r="I6" s="25">
        <v>20</v>
      </c>
      <c r="J6" s="536"/>
      <c r="K6" s="16" t="s">
        <v>51</v>
      </c>
      <c r="L6" s="16">
        <v>11</v>
      </c>
      <c r="M6" s="25">
        <v>20</v>
      </c>
      <c r="N6" s="536"/>
      <c r="O6" s="16" t="s">
        <v>51</v>
      </c>
      <c r="P6" s="16">
        <v>11</v>
      </c>
      <c r="Q6" s="25">
        <v>20</v>
      </c>
    </row>
    <row r="7" spans="2:17" ht="16.5" x14ac:dyDescent="0.25">
      <c r="B7" s="536"/>
      <c r="C7" s="16" t="s">
        <v>117</v>
      </c>
      <c r="D7" s="16">
        <v>8.25</v>
      </c>
      <c r="E7" s="25">
        <v>15</v>
      </c>
      <c r="F7" s="536"/>
      <c r="G7" s="16" t="s">
        <v>117</v>
      </c>
      <c r="H7" s="16">
        <v>8.25</v>
      </c>
      <c r="I7" s="25">
        <v>15</v>
      </c>
      <c r="J7" s="536"/>
      <c r="K7" s="16" t="s">
        <v>117</v>
      </c>
      <c r="L7" s="16">
        <v>8.25</v>
      </c>
      <c r="M7" s="25">
        <v>15</v>
      </c>
      <c r="N7" s="536"/>
      <c r="O7" s="16" t="s">
        <v>117</v>
      </c>
      <c r="P7" s="16">
        <v>8.25</v>
      </c>
      <c r="Q7" s="25">
        <v>15</v>
      </c>
    </row>
    <row r="8" spans="2:17" ht="16.5" x14ac:dyDescent="0.25">
      <c r="B8" s="536"/>
      <c r="C8" s="16" t="s">
        <v>104</v>
      </c>
      <c r="D8" s="16">
        <v>13.75</v>
      </c>
      <c r="E8" s="25">
        <v>25</v>
      </c>
      <c r="F8" s="536"/>
      <c r="G8" s="16" t="s">
        <v>104</v>
      </c>
      <c r="H8" s="16">
        <v>13.75</v>
      </c>
      <c r="I8" s="25">
        <v>25</v>
      </c>
      <c r="J8" s="536"/>
      <c r="K8" s="16" t="s">
        <v>104</v>
      </c>
      <c r="L8" s="16">
        <v>13.75</v>
      </c>
      <c r="M8" s="25">
        <v>25</v>
      </c>
      <c r="N8" s="536"/>
      <c r="O8" s="16" t="s">
        <v>104</v>
      </c>
      <c r="P8" s="16">
        <v>13.75</v>
      </c>
      <c r="Q8" s="25">
        <v>25</v>
      </c>
    </row>
    <row r="9" spans="2:17" ht="16.5" x14ac:dyDescent="0.25">
      <c r="B9" s="536"/>
      <c r="C9" s="16" t="s">
        <v>129</v>
      </c>
      <c r="D9" s="16">
        <v>35</v>
      </c>
      <c r="E9" s="25">
        <v>80</v>
      </c>
      <c r="F9" s="536"/>
      <c r="G9" s="16" t="s">
        <v>122</v>
      </c>
      <c r="H9" s="16">
        <v>8.25</v>
      </c>
      <c r="I9" s="25">
        <v>15</v>
      </c>
      <c r="J9" s="536"/>
      <c r="K9" s="16" t="s">
        <v>118</v>
      </c>
      <c r="L9" s="16">
        <v>5.5</v>
      </c>
      <c r="M9" s="25">
        <v>10</v>
      </c>
      <c r="N9" s="536"/>
      <c r="O9" s="16" t="s">
        <v>118</v>
      </c>
      <c r="P9" s="16">
        <v>5.5</v>
      </c>
      <c r="Q9" s="25">
        <v>10</v>
      </c>
    </row>
    <row r="10" spans="2:17" ht="16.5" x14ac:dyDescent="0.25">
      <c r="B10" s="536"/>
      <c r="C10" s="16" t="s">
        <v>128</v>
      </c>
      <c r="D10" s="16">
        <v>35</v>
      </c>
      <c r="E10" s="25">
        <v>80</v>
      </c>
      <c r="F10" s="536"/>
      <c r="G10" s="16" t="s">
        <v>123</v>
      </c>
      <c r="H10" s="16">
        <v>8.25</v>
      </c>
      <c r="I10" s="25">
        <v>15</v>
      </c>
      <c r="J10" s="536"/>
      <c r="K10" s="16" t="s">
        <v>119</v>
      </c>
      <c r="L10" s="16">
        <v>5.5</v>
      </c>
      <c r="M10" s="25">
        <v>10</v>
      </c>
      <c r="N10" s="536"/>
      <c r="O10" s="16" t="s">
        <v>119</v>
      </c>
      <c r="P10" s="16">
        <v>5.5</v>
      </c>
      <c r="Q10" s="25">
        <v>10</v>
      </c>
    </row>
    <row r="11" spans="2:17" ht="16.5" x14ac:dyDescent="0.25">
      <c r="B11" s="536"/>
      <c r="C11" s="16" t="s">
        <v>130</v>
      </c>
      <c r="D11" s="16">
        <v>35</v>
      </c>
      <c r="E11" s="25">
        <v>80</v>
      </c>
      <c r="F11" s="536"/>
      <c r="G11" s="16" t="s">
        <v>124</v>
      </c>
      <c r="H11" s="16">
        <v>8.25</v>
      </c>
      <c r="I11" s="25">
        <v>15</v>
      </c>
      <c r="J11" s="536"/>
      <c r="K11" s="16" t="s">
        <v>66</v>
      </c>
      <c r="L11" s="16">
        <v>8.8000000000000007</v>
      </c>
      <c r="M11" s="25">
        <v>16</v>
      </c>
      <c r="N11" s="536"/>
      <c r="O11" s="16" t="s">
        <v>66</v>
      </c>
      <c r="P11" s="16">
        <v>8.8000000000000007</v>
      </c>
      <c r="Q11" s="25">
        <v>16</v>
      </c>
    </row>
    <row r="12" spans="2:17" ht="16.5" x14ac:dyDescent="0.25">
      <c r="B12" s="536"/>
      <c r="C12" s="16" t="s">
        <v>131</v>
      </c>
      <c r="D12" s="16">
        <v>35</v>
      </c>
      <c r="E12" s="25">
        <v>80</v>
      </c>
      <c r="F12" s="536"/>
      <c r="G12" s="16" t="s">
        <v>125</v>
      </c>
      <c r="H12" s="16">
        <v>8.25</v>
      </c>
      <c r="I12" s="25">
        <v>15</v>
      </c>
      <c r="J12" s="536"/>
      <c r="K12" s="16" t="s">
        <v>120</v>
      </c>
      <c r="L12" s="16">
        <v>8.8000000000000007</v>
      </c>
      <c r="M12" s="25">
        <v>16</v>
      </c>
      <c r="N12" s="536"/>
      <c r="O12" s="16" t="s">
        <v>120</v>
      </c>
      <c r="P12" s="16">
        <v>8.8000000000000007</v>
      </c>
      <c r="Q12" s="25">
        <v>16</v>
      </c>
    </row>
    <row r="13" spans="2:17" ht="16.5" x14ac:dyDescent="0.25">
      <c r="B13" s="536"/>
      <c r="C13" s="16" t="s">
        <v>132</v>
      </c>
      <c r="D13" s="16">
        <v>35</v>
      </c>
      <c r="E13" s="25">
        <v>80</v>
      </c>
      <c r="F13" s="536"/>
      <c r="G13" s="16" t="s">
        <v>126</v>
      </c>
      <c r="H13" s="16">
        <v>8.25</v>
      </c>
      <c r="I13" s="25">
        <v>15</v>
      </c>
      <c r="J13" s="536"/>
      <c r="K13" s="16" t="s">
        <v>95</v>
      </c>
      <c r="L13" s="16">
        <v>4.4000000000000004</v>
      </c>
      <c r="M13" s="25">
        <v>8</v>
      </c>
      <c r="N13" s="536"/>
      <c r="O13" s="16" t="s">
        <v>95</v>
      </c>
      <c r="P13" s="16">
        <v>4.4000000000000004</v>
      </c>
      <c r="Q13" s="25">
        <v>8</v>
      </c>
    </row>
    <row r="14" spans="2:17" ht="17.25" thickBot="1" x14ac:dyDescent="0.3">
      <c r="B14" s="606"/>
      <c r="C14" s="28" t="s">
        <v>109</v>
      </c>
      <c r="D14" s="28">
        <v>35</v>
      </c>
      <c r="E14" s="29">
        <v>80</v>
      </c>
      <c r="F14" s="606"/>
      <c r="G14" s="28" t="s">
        <v>127</v>
      </c>
      <c r="H14" s="28">
        <v>8.25</v>
      </c>
      <c r="I14" s="29">
        <v>15</v>
      </c>
      <c r="J14" s="606"/>
      <c r="K14" s="28" t="s">
        <v>121</v>
      </c>
      <c r="L14" s="28">
        <v>4.4000000000000004</v>
      </c>
      <c r="M14" s="29">
        <v>8</v>
      </c>
      <c r="N14" s="606"/>
      <c r="O14" s="28" t="s">
        <v>121</v>
      </c>
      <c r="P14" s="28">
        <v>4.4000000000000004</v>
      </c>
      <c r="Q14" s="29">
        <v>8</v>
      </c>
    </row>
    <row r="19" spans="2:4" ht="16.5" x14ac:dyDescent="0.25">
      <c r="B19" s="607" t="s">
        <v>148</v>
      </c>
      <c r="C19" s="269" t="s">
        <v>9</v>
      </c>
      <c r="D19" s="33">
        <v>20</v>
      </c>
    </row>
    <row r="20" spans="2:4" ht="16.5" x14ac:dyDescent="0.25">
      <c r="B20" s="608"/>
      <c r="C20" s="33" t="s">
        <v>149</v>
      </c>
      <c r="D20" s="33">
        <v>30</v>
      </c>
    </row>
  </sheetData>
  <mergeCells count="5">
    <mergeCell ref="B4:B14"/>
    <mergeCell ref="F4:F14"/>
    <mergeCell ref="N4:N14"/>
    <mergeCell ref="J4:J14"/>
    <mergeCell ref="B19:B20"/>
  </mergeCells>
  <phoneticPr fontId="1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F783A4-260A-42EC-A178-67BF1588B355}">
  <dimension ref="B2:G25"/>
  <sheetViews>
    <sheetView zoomScale="130" zoomScaleNormal="130" workbookViewId="0">
      <selection activeCell="C25" sqref="C25"/>
    </sheetView>
  </sheetViews>
  <sheetFormatPr defaultRowHeight="16.5" x14ac:dyDescent="0.25"/>
  <cols>
    <col min="1" max="1" width="9.140625" customWidth="1"/>
    <col min="2" max="2" width="21.5703125" style="111" customWidth="1"/>
    <col min="3" max="5" width="9.140625" style="111"/>
    <col min="6" max="6" width="30.5703125" style="111" customWidth="1"/>
    <col min="7" max="7" width="9.140625" style="53"/>
  </cols>
  <sheetData>
    <row r="2" spans="2:6" x14ac:dyDescent="0.25">
      <c r="B2" s="111" t="s">
        <v>199</v>
      </c>
      <c r="C2" s="111" t="s">
        <v>51</v>
      </c>
      <c r="D2" s="111" t="s">
        <v>214</v>
      </c>
      <c r="F2" s="111" t="s">
        <v>213</v>
      </c>
    </row>
    <row r="3" spans="2:6" x14ac:dyDescent="0.25">
      <c r="B3" s="112" t="s">
        <v>212</v>
      </c>
      <c r="C3" s="111">
        <v>1000</v>
      </c>
      <c r="D3" s="111">
        <v>1</v>
      </c>
    </row>
    <row r="4" spans="2:6" x14ac:dyDescent="0.25">
      <c r="B4" s="112" t="s">
        <v>211</v>
      </c>
      <c r="C4" s="111">
        <v>500</v>
      </c>
      <c r="D4" s="111">
        <v>1</v>
      </c>
    </row>
    <row r="5" spans="2:6" x14ac:dyDescent="0.25">
      <c r="B5" s="112" t="s">
        <v>197</v>
      </c>
      <c r="C5" s="111">
        <v>1500</v>
      </c>
      <c r="D5" s="111">
        <v>1</v>
      </c>
    </row>
    <row r="6" spans="2:6" x14ac:dyDescent="0.25">
      <c r="B6" s="112" t="s">
        <v>198</v>
      </c>
      <c r="C6" s="111">
        <v>1000</v>
      </c>
      <c r="D6" s="111">
        <v>1</v>
      </c>
    </row>
    <row r="7" spans="2:6" x14ac:dyDescent="0.25">
      <c r="B7" s="112" t="s">
        <v>200</v>
      </c>
      <c r="C7" s="111">
        <v>1000</v>
      </c>
      <c r="D7" s="111">
        <v>1</v>
      </c>
    </row>
    <row r="8" spans="2:6" x14ac:dyDescent="0.25">
      <c r="B8" s="112" t="s">
        <v>217</v>
      </c>
      <c r="C8" s="111">
        <v>1000</v>
      </c>
      <c r="D8" s="111">
        <v>1.2</v>
      </c>
    </row>
    <row r="9" spans="2:6" x14ac:dyDescent="0.25">
      <c r="B9" s="112" t="s">
        <v>201</v>
      </c>
      <c r="C9" s="111">
        <v>2000</v>
      </c>
      <c r="D9" s="111">
        <v>1</v>
      </c>
    </row>
    <row r="10" spans="2:6" x14ac:dyDescent="0.25">
      <c r="B10" s="112" t="s">
        <v>215</v>
      </c>
      <c r="C10" s="111">
        <v>2000</v>
      </c>
      <c r="D10" s="111">
        <v>0.3</v>
      </c>
    </row>
    <row r="11" spans="2:6" x14ac:dyDescent="0.25">
      <c r="B11" s="112" t="s">
        <v>216</v>
      </c>
      <c r="C11" s="111">
        <v>2000</v>
      </c>
      <c r="D11" s="111">
        <v>1.2</v>
      </c>
    </row>
    <row r="12" spans="2:6" x14ac:dyDescent="0.25">
      <c r="B12" s="112" t="s">
        <v>202</v>
      </c>
      <c r="C12" s="111">
        <v>1000</v>
      </c>
      <c r="D12" s="111">
        <v>1</v>
      </c>
    </row>
    <row r="13" spans="2:6" x14ac:dyDescent="0.25">
      <c r="B13" s="112" t="s">
        <v>203</v>
      </c>
      <c r="C13" s="111">
        <v>1500</v>
      </c>
      <c r="D13" s="111">
        <v>1</v>
      </c>
    </row>
    <row r="14" spans="2:6" x14ac:dyDescent="0.3">
      <c r="B14" s="113" t="s">
        <v>218</v>
      </c>
      <c r="C14" s="111">
        <v>1500</v>
      </c>
      <c r="D14" s="111">
        <v>0.01</v>
      </c>
    </row>
    <row r="15" spans="2:6" x14ac:dyDescent="0.25">
      <c r="B15" s="112" t="s">
        <v>204</v>
      </c>
      <c r="C15" s="111">
        <v>250</v>
      </c>
      <c r="D15" s="111">
        <v>1</v>
      </c>
    </row>
    <row r="16" spans="2:6" x14ac:dyDescent="0.25">
      <c r="B16" s="112" t="s">
        <v>205</v>
      </c>
      <c r="C16" s="111">
        <v>2000</v>
      </c>
      <c r="D16" s="111">
        <v>1</v>
      </c>
    </row>
    <row r="17" spans="2:6" x14ac:dyDescent="0.3">
      <c r="B17" s="113" t="s">
        <v>219</v>
      </c>
      <c r="C17" s="111">
        <v>2000</v>
      </c>
      <c r="D17" s="111">
        <v>1.1499999999999999</v>
      </c>
    </row>
    <row r="18" spans="2:6" x14ac:dyDescent="0.3">
      <c r="B18" s="113" t="s">
        <v>220</v>
      </c>
      <c r="C18" s="111">
        <v>2000</v>
      </c>
      <c r="D18" s="111">
        <v>0.01</v>
      </c>
    </row>
    <row r="19" spans="2:6" x14ac:dyDescent="0.25">
      <c r="B19" s="112" t="s">
        <v>206</v>
      </c>
      <c r="C19" s="111">
        <v>1000</v>
      </c>
      <c r="D19" s="111">
        <v>1</v>
      </c>
    </row>
    <row r="20" spans="2:6" x14ac:dyDescent="0.25">
      <c r="B20" s="112" t="s">
        <v>207</v>
      </c>
      <c r="C20" s="111">
        <v>750</v>
      </c>
      <c r="D20" s="111">
        <v>1</v>
      </c>
    </row>
    <row r="21" spans="2:6" x14ac:dyDescent="0.25">
      <c r="B21" s="112" t="s">
        <v>208</v>
      </c>
      <c r="C21" s="111">
        <v>1000</v>
      </c>
      <c r="D21" s="111">
        <v>1</v>
      </c>
    </row>
    <row r="22" spans="2:6" x14ac:dyDescent="0.25">
      <c r="B22" s="112" t="s">
        <v>209</v>
      </c>
      <c r="C22" s="111">
        <v>750</v>
      </c>
      <c r="D22" s="111">
        <v>1</v>
      </c>
    </row>
    <row r="23" spans="2:6" x14ac:dyDescent="0.25">
      <c r="B23" s="112" t="s">
        <v>210</v>
      </c>
      <c r="C23" s="111">
        <v>2000</v>
      </c>
      <c r="D23" s="111">
        <v>1.1499999999999999</v>
      </c>
    </row>
    <row r="24" spans="2:6" x14ac:dyDescent="0.3">
      <c r="B24" s="113" t="s">
        <v>221</v>
      </c>
      <c r="C24" s="111">
        <v>2000</v>
      </c>
      <c r="D24" s="111">
        <v>1.1499999999999999</v>
      </c>
    </row>
    <row r="25" spans="2:6" x14ac:dyDescent="0.25">
      <c r="B25" s="391" t="s">
        <v>633</v>
      </c>
      <c r="C25" s="392">
        <v>1000</v>
      </c>
      <c r="D25" s="392">
        <v>1</v>
      </c>
      <c r="F25" s="390" t="s">
        <v>634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83E634-83C2-4085-B642-237B11F57304}">
  <sheetPr codeName="工作表5"/>
  <dimension ref="B2:X31"/>
  <sheetViews>
    <sheetView zoomScaleNormal="100" workbookViewId="0">
      <selection activeCell="J9" sqref="J9"/>
    </sheetView>
  </sheetViews>
  <sheetFormatPr defaultRowHeight="15.75" x14ac:dyDescent="0.25"/>
  <cols>
    <col min="2" max="2" width="10" customWidth="1"/>
  </cols>
  <sheetData>
    <row r="2" spans="2:24" ht="16.5" x14ac:dyDescent="0.25">
      <c r="B2" s="609"/>
      <c r="C2" s="609"/>
      <c r="D2" s="610" t="s">
        <v>3</v>
      </c>
      <c r="E2" s="610"/>
      <c r="F2" s="610"/>
      <c r="G2" s="610"/>
      <c r="H2" s="610"/>
      <c r="I2" s="610"/>
      <c r="J2" s="610"/>
      <c r="K2" s="610"/>
      <c r="L2" s="610"/>
      <c r="M2" s="610"/>
      <c r="N2" s="610"/>
      <c r="O2" s="610"/>
      <c r="P2" s="610"/>
      <c r="Q2" s="610"/>
      <c r="R2" s="610"/>
      <c r="S2" s="610"/>
      <c r="T2" s="610"/>
      <c r="U2" s="610"/>
      <c r="V2" s="610"/>
      <c r="W2" s="610"/>
      <c r="X2" s="610"/>
    </row>
    <row r="3" spans="2:24" ht="16.5" x14ac:dyDescent="0.25">
      <c r="B3" s="609"/>
      <c r="C3" s="609"/>
      <c r="D3" s="2">
        <v>0</v>
      </c>
      <c r="E3" s="2">
        <v>5</v>
      </c>
      <c r="F3" s="2">
        <v>10</v>
      </c>
      <c r="G3" s="2">
        <v>15</v>
      </c>
      <c r="H3" s="2">
        <v>20</v>
      </c>
      <c r="I3" s="2">
        <v>25</v>
      </c>
      <c r="J3" s="2">
        <v>30</v>
      </c>
      <c r="K3" s="2">
        <v>35</v>
      </c>
      <c r="L3" s="2">
        <v>40</v>
      </c>
      <c r="M3" s="2">
        <v>45</v>
      </c>
      <c r="N3" s="2">
        <v>50</v>
      </c>
      <c r="O3" s="2">
        <v>55</v>
      </c>
      <c r="P3" s="2">
        <v>60</v>
      </c>
      <c r="Q3" s="2">
        <v>65</v>
      </c>
      <c r="R3" s="2">
        <v>70</v>
      </c>
      <c r="S3" s="2">
        <v>75</v>
      </c>
      <c r="T3" s="2">
        <v>80</v>
      </c>
      <c r="U3" s="2">
        <v>85</v>
      </c>
      <c r="V3" s="2">
        <v>90</v>
      </c>
      <c r="W3" s="2">
        <v>95</v>
      </c>
      <c r="X3" s="2">
        <v>100</v>
      </c>
    </row>
    <row r="4" spans="2:24" ht="16.5" x14ac:dyDescent="0.25">
      <c r="B4" s="611" t="s">
        <v>10</v>
      </c>
      <c r="C4" s="2">
        <v>150</v>
      </c>
      <c r="D4" s="3">
        <f>$C$4/100*D3%+1*(1-D3%)</f>
        <v>1</v>
      </c>
      <c r="E4" s="3">
        <f>$C$4/100*E3%+1*(1-E3%)</f>
        <v>1.0249999999999999</v>
      </c>
      <c r="F4" s="3">
        <f t="shared" ref="F4:W4" si="0">$C$4/100*F3%+1*(1-F3%)</f>
        <v>1.05</v>
      </c>
      <c r="G4" s="4">
        <f t="shared" si="0"/>
        <v>1.075</v>
      </c>
      <c r="H4" s="3">
        <f t="shared" si="0"/>
        <v>1.1000000000000001</v>
      </c>
      <c r="I4" s="3">
        <f t="shared" si="0"/>
        <v>1.125</v>
      </c>
      <c r="J4" s="3">
        <f t="shared" si="0"/>
        <v>1.1499999999999999</v>
      </c>
      <c r="K4" s="3">
        <f t="shared" si="0"/>
        <v>1.1749999999999998</v>
      </c>
      <c r="L4" s="3">
        <f t="shared" si="0"/>
        <v>1.2000000000000002</v>
      </c>
      <c r="M4" s="3">
        <f t="shared" si="0"/>
        <v>1.2250000000000001</v>
      </c>
      <c r="N4" s="3">
        <f t="shared" si="0"/>
        <v>1.25</v>
      </c>
      <c r="O4" s="3">
        <f t="shared" si="0"/>
        <v>1.2749999999999999</v>
      </c>
      <c r="P4" s="3">
        <f t="shared" si="0"/>
        <v>1.2999999999999998</v>
      </c>
      <c r="Q4" s="3">
        <f t="shared" si="0"/>
        <v>1.3250000000000002</v>
      </c>
      <c r="R4" s="3">
        <f t="shared" si="0"/>
        <v>1.3499999999999999</v>
      </c>
      <c r="S4" s="4">
        <f t="shared" si="0"/>
        <v>1.375</v>
      </c>
      <c r="T4" s="3">
        <f t="shared" si="0"/>
        <v>1.4000000000000001</v>
      </c>
      <c r="U4" s="3">
        <f t="shared" si="0"/>
        <v>1.4249999999999998</v>
      </c>
      <c r="V4" s="4">
        <f t="shared" si="0"/>
        <v>1.4500000000000002</v>
      </c>
      <c r="W4" s="3">
        <f t="shared" si="0"/>
        <v>1.4749999999999999</v>
      </c>
      <c r="X4" s="5">
        <f>$C$4/100*X3%+1*(1-X3%)</f>
        <v>1.5</v>
      </c>
    </row>
    <row r="5" spans="2:24" ht="16.5" x14ac:dyDescent="0.25">
      <c r="B5" s="612"/>
      <c r="C5" s="2">
        <v>160</v>
      </c>
      <c r="D5" s="3">
        <f t="shared" ref="D5:W5" si="1">$C$5/100*D3%+1*(1-D3%)</f>
        <v>1</v>
      </c>
      <c r="E5" s="3">
        <f t="shared" si="1"/>
        <v>1.03</v>
      </c>
      <c r="F5" s="3">
        <f t="shared" si="1"/>
        <v>1.06</v>
      </c>
      <c r="G5" s="3">
        <f t="shared" si="1"/>
        <v>1.0899999999999999</v>
      </c>
      <c r="H5" s="3">
        <f t="shared" si="1"/>
        <v>1.1200000000000001</v>
      </c>
      <c r="I5" s="3">
        <f t="shared" si="1"/>
        <v>1.1499999999999999</v>
      </c>
      <c r="J5" s="3">
        <f t="shared" si="1"/>
        <v>1.18</v>
      </c>
      <c r="K5" s="3">
        <f t="shared" si="1"/>
        <v>1.21</v>
      </c>
      <c r="L5" s="3">
        <f t="shared" si="1"/>
        <v>1.2400000000000002</v>
      </c>
      <c r="M5" s="3">
        <f t="shared" si="1"/>
        <v>1.27</v>
      </c>
      <c r="N5" s="3">
        <f t="shared" si="1"/>
        <v>1.3</v>
      </c>
      <c r="O5" s="3">
        <f t="shared" si="1"/>
        <v>1.33</v>
      </c>
      <c r="P5" s="3">
        <f t="shared" si="1"/>
        <v>1.3599999999999999</v>
      </c>
      <c r="Q5" s="3">
        <f t="shared" si="1"/>
        <v>1.3900000000000001</v>
      </c>
      <c r="R5" s="3">
        <f t="shared" si="1"/>
        <v>1.42</v>
      </c>
      <c r="S5" s="3">
        <f t="shared" si="1"/>
        <v>1.4500000000000002</v>
      </c>
      <c r="T5" s="3">
        <f t="shared" si="1"/>
        <v>1.4800000000000002</v>
      </c>
      <c r="U5" s="3">
        <f t="shared" si="1"/>
        <v>1.5100000000000002</v>
      </c>
      <c r="V5" s="3">
        <f t="shared" si="1"/>
        <v>1.54</v>
      </c>
      <c r="W5" s="3">
        <f t="shared" si="1"/>
        <v>1.57</v>
      </c>
      <c r="X5" s="5">
        <f>$C$5/100*X3%+1*(1-X3%)</f>
        <v>1.6</v>
      </c>
    </row>
    <row r="6" spans="2:24" ht="16.5" x14ac:dyDescent="0.25">
      <c r="B6" s="612"/>
      <c r="C6" s="2">
        <v>170</v>
      </c>
      <c r="D6" s="3">
        <f t="shared" ref="D6:W6" si="2">$C$6/100*D3%+1*(1-D3%)</f>
        <v>1</v>
      </c>
      <c r="E6" s="3">
        <f t="shared" si="2"/>
        <v>1.0349999999999999</v>
      </c>
      <c r="F6" s="3">
        <f t="shared" si="2"/>
        <v>1.07</v>
      </c>
      <c r="G6" s="3">
        <f t="shared" si="2"/>
        <v>1.105</v>
      </c>
      <c r="H6" s="3">
        <f t="shared" si="2"/>
        <v>1.1400000000000001</v>
      </c>
      <c r="I6" s="3">
        <f t="shared" si="2"/>
        <v>1.175</v>
      </c>
      <c r="J6" s="3">
        <f t="shared" si="2"/>
        <v>1.21</v>
      </c>
      <c r="K6" s="3">
        <f t="shared" si="2"/>
        <v>1.2450000000000001</v>
      </c>
      <c r="L6" s="3">
        <f t="shared" si="2"/>
        <v>1.28</v>
      </c>
      <c r="M6" s="3">
        <f t="shared" si="2"/>
        <v>1.3149999999999999</v>
      </c>
      <c r="N6" s="3">
        <f t="shared" si="2"/>
        <v>1.35</v>
      </c>
      <c r="O6" s="3">
        <f t="shared" si="2"/>
        <v>1.385</v>
      </c>
      <c r="P6" s="3">
        <f t="shared" si="2"/>
        <v>1.42</v>
      </c>
      <c r="Q6" s="3">
        <f t="shared" si="2"/>
        <v>1.4550000000000001</v>
      </c>
      <c r="R6" s="3">
        <f t="shared" si="2"/>
        <v>1.49</v>
      </c>
      <c r="S6" s="3">
        <f t="shared" si="2"/>
        <v>1.5249999999999999</v>
      </c>
      <c r="T6" s="3">
        <f t="shared" si="2"/>
        <v>1.56</v>
      </c>
      <c r="U6" s="3">
        <f t="shared" si="2"/>
        <v>1.5949999999999998</v>
      </c>
      <c r="V6" s="3">
        <f t="shared" si="2"/>
        <v>1.63</v>
      </c>
      <c r="W6" s="3">
        <f t="shared" si="2"/>
        <v>1.665</v>
      </c>
      <c r="X6" s="5">
        <f>$C$6/100*X3%+1*(1-X3%)</f>
        <v>1.7</v>
      </c>
    </row>
    <row r="7" spans="2:24" ht="16.5" x14ac:dyDescent="0.25">
      <c r="B7" s="612"/>
      <c r="C7" s="2">
        <v>180</v>
      </c>
      <c r="D7" s="3">
        <f t="shared" ref="D7:V7" si="3">$C$7/100*D3%+1*(1-D3%)</f>
        <v>1</v>
      </c>
      <c r="E7" s="3">
        <f t="shared" si="3"/>
        <v>1.04</v>
      </c>
      <c r="F7" s="3">
        <f t="shared" si="3"/>
        <v>1.08</v>
      </c>
      <c r="G7" s="3">
        <f t="shared" si="3"/>
        <v>1.1200000000000001</v>
      </c>
      <c r="H7" s="3">
        <f t="shared" si="3"/>
        <v>1.1600000000000001</v>
      </c>
      <c r="I7" s="3">
        <f t="shared" si="3"/>
        <v>1.2</v>
      </c>
      <c r="J7" s="3">
        <f t="shared" si="3"/>
        <v>1.24</v>
      </c>
      <c r="K7" s="3">
        <f t="shared" si="3"/>
        <v>1.28</v>
      </c>
      <c r="L7" s="3">
        <f t="shared" si="3"/>
        <v>1.32</v>
      </c>
      <c r="M7" s="3">
        <f t="shared" si="3"/>
        <v>1.36</v>
      </c>
      <c r="N7" s="3">
        <f t="shared" si="3"/>
        <v>1.4</v>
      </c>
      <c r="O7" s="3">
        <f t="shared" si="3"/>
        <v>1.44</v>
      </c>
      <c r="P7" s="3">
        <f t="shared" si="3"/>
        <v>1.48</v>
      </c>
      <c r="Q7" s="3">
        <f t="shared" si="3"/>
        <v>1.52</v>
      </c>
      <c r="R7" s="3">
        <f t="shared" si="3"/>
        <v>1.56</v>
      </c>
      <c r="S7" s="3">
        <f t="shared" si="3"/>
        <v>1.6</v>
      </c>
      <c r="T7" s="3">
        <f t="shared" si="3"/>
        <v>1.6400000000000001</v>
      </c>
      <c r="U7" s="3">
        <f t="shared" si="3"/>
        <v>1.6800000000000002</v>
      </c>
      <c r="V7" s="3">
        <f t="shared" si="3"/>
        <v>1.7200000000000002</v>
      </c>
      <c r="W7" s="3">
        <f>$C$7/100*W3%+1*(1-W3%)</f>
        <v>1.76</v>
      </c>
      <c r="X7" s="5">
        <f>$C$7/100*X3%+1*(1-X3%)</f>
        <v>1.8</v>
      </c>
    </row>
    <row r="8" spans="2:24" ht="16.5" x14ac:dyDescent="0.25">
      <c r="B8" s="612"/>
      <c r="C8" s="2">
        <v>190</v>
      </c>
      <c r="D8" s="3">
        <f t="shared" ref="D8:W8" si="4">$C$8/100*D3%+1*(1-D3%)</f>
        <v>1</v>
      </c>
      <c r="E8" s="3">
        <f t="shared" si="4"/>
        <v>1.0449999999999999</v>
      </c>
      <c r="F8" s="3">
        <f t="shared" si="4"/>
        <v>1.0900000000000001</v>
      </c>
      <c r="G8" s="3">
        <f t="shared" si="4"/>
        <v>1.135</v>
      </c>
      <c r="H8" s="3">
        <f t="shared" si="4"/>
        <v>1.1800000000000002</v>
      </c>
      <c r="I8" s="3">
        <f t="shared" si="4"/>
        <v>1.2250000000000001</v>
      </c>
      <c r="J8" s="3">
        <f t="shared" si="4"/>
        <v>1.27</v>
      </c>
      <c r="K8" s="3">
        <f t="shared" si="4"/>
        <v>1.3149999999999999</v>
      </c>
      <c r="L8" s="3">
        <f t="shared" si="4"/>
        <v>1.3599999999999999</v>
      </c>
      <c r="M8" s="3">
        <f t="shared" si="4"/>
        <v>1.405</v>
      </c>
      <c r="N8" s="3">
        <f t="shared" si="4"/>
        <v>1.45</v>
      </c>
      <c r="O8" s="3">
        <f t="shared" si="4"/>
        <v>1.4949999999999999</v>
      </c>
      <c r="P8" s="3">
        <f t="shared" si="4"/>
        <v>1.54</v>
      </c>
      <c r="Q8" s="3">
        <f t="shared" si="4"/>
        <v>1.585</v>
      </c>
      <c r="R8" s="3">
        <f t="shared" si="4"/>
        <v>1.63</v>
      </c>
      <c r="S8" s="3">
        <f t="shared" si="4"/>
        <v>1.6749999999999998</v>
      </c>
      <c r="T8" s="3">
        <f t="shared" si="4"/>
        <v>1.72</v>
      </c>
      <c r="U8" s="3">
        <f t="shared" si="4"/>
        <v>1.7650000000000001</v>
      </c>
      <c r="V8" s="3">
        <f t="shared" si="4"/>
        <v>1.81</v>
      </c>
      <c r="W8" s="3">
        <f t="shared" si="4"/>
        <v>1.855</v>
      </c>
      <c r="X8" s="5">
        <f>$C$8/100*X3%+1*(1-X3%)</f>
        <v>1.9</v>
      </c>
    </row>
    <row r="9" spans="2:24" ht="16.5" x14ac:dyDescent="0.25">
      <c r="B9" s="612"/>
      <c r="C9" s="2">
        <v>200</v>
      </c>
      <c r="D9" s="3">
        <f t="shared" ref="D9:I9" si="5">$C$9/100*D3%+1*(1-D3%)</f>
        <v>1</v>
      </c>
      <c r="E9" s="3">
        <f>$C$9/100*E3%+1*(1-E3%)</f>
        <v>1.05</v>
      </c>
      <c r="F9" s="3">
        <f t="shared" si="5"/>
        <v>1.1000000000000001</v>
      </c>
      <c r="G9" s="3">
        <f t="shared" si="5"/>
        <v>1.1499999999999999</v>
      </c>
      <c r="H9" s="3">
        <f t="shared" si="5"/>
        <v>1.2000000000000002</v>
      </c>
      <c r="I9" s="3">
        <f t="shared" si="5"/>
        <v>1.25</v>
      </c>
      <c r="J9" s="3">
        <f>$C$9/100*J3%+1*(1-J3%)</f>
        <v>1.2999999999999998</v>
      </c>
      <c r="K9" s="5">
        <f t="shared" ref="K9:X9" si="6">$C$9/100*K3%+1*(1-K3%)</f>
        <v>1.35</v>
      </c>
      <c r="L9" s="3">
        <f t="shared" si="6"/>
        <v>1.4</v>
      </c>
      <c r="M9" s="3">
        <f t="shared" si="6"/>
        <v>1.4500000000000002</v>
      </c>
      <c r="N9" s="3">
        <f t="shared" si="6"/>
        <v>1.5</v>
      </c>
      <c r="O9" s="3">
        <f t="shared" si="6"/>
        <v>1.55</v>
      </c>
      <c r="P9" s="3">
        <f t="shared" si="6"/>
        <v>1.6</v>
      </c>
      <c r="Q9" s="3">
        <f t="shared" si="6"/>
        <v>1.65</v>
      </c>
      <c r="R9" s="3">
        <f t="shared" si="6"/>
        <v>1.7</v>
      </c>
      <c r="S9" s="3">
        <f t="shared" si="6"/>
        <v>1.75</v>
      </c>
      <c r="T9" s="3">
        <f t="shared" si="6"/>
        <v>1.8</v>
      </c>
      <c r="U9" s="3">
        <f t="shared" si="6"/>
        <v>1.85</v>
      </c>
      <c r="V9" s="3">
        <f t="shared" si="6"/>
        <v>1.9</v>
      </c>
      <c r="W9" s="3">
        <f t="shared" si="6"/>
        <v>1.95</v>
      </c>
      <c r="X9" s="5">
        <f t="shared" si="6"/>
        <v>2</v>
      </c>
    </row>
    <row r="10" spans="2:24" ht="16.5" x14ac:dyDescent="0.25">
      <c r="B10" s="612"/>
      <c r="C10" s="2">
        <v>210</v>
      </c>
      <c r="D10" s="3">
        <f t="shared" ref="D10:W10" si="7">$C$10/100*D3%+1*(1-D3%)</f>
        <v>1</v>
      </c>
      <c r="E10" s="3">
        <f t="shared" si="7"/>
        <v>1.0549999999999999</v>
      </c>
      <c r="F10" s="3">
        <f t="shared" si="7"/>
        <v>1.1100000000000001</v>
      </c>
      <c r="G10" s="3">
        <f t="shared" si="7"/>
        <v>1.165</v>
      </c>
      <c r="H10" s="3">
        <f t="shared" si="7"/>
        <v>1.2200000000000002</v>
      </c>
      <c r="I10" s="3">
        <f t="shared" si="7"/>
        <v>1.2749999999999999</v>
      </c>
      <c r="J10" s="3">
        <f t="shared" si="7"/>
        <v>1.33</v>
      </c>
      <c r="K10" s="3">
        <f t="shared" si="7"/>
        <v>1.385</v>
      </c>
      <c r="L10" s="3">
        <f t="shared" si="7"/>
        <v>1.44</v>
      </c>
      <c r="M10" s="3">
        <f t="shared" si="7"/>
        <v>1.4950000000000001</v>
      </c>
      <c r="N10" s="3">
        <f t="shared" si="7"/>
        <v>1.55</v>
      </c>
      <c r="O10" s="3">
        <f t="shared" si="7"/>
        <v>1.6050000000000002</v>
      </c>
      <c r="P10" s="3">
        <f t="shared" si="7"/>
        <v>1.6600000000000001</v>
      </c>
      <c r="Q10" s="3">
        <f t="shared" si="7"/>
        <v>1.7150000000000003</v>
      </c>
      <c r="R10" s="3">
        <f t="shared" si="7"/>
        <v>1.77</v>
      </c>
      <c r="S10" s="3">
        <f t="shared" si="7"/>
        <v>1.8250000000000002</v>
      </c>
      <c r="T10" s="3">
        <f t="shared" si="7"/>
        <v>1.8800000000000001</v>
      </c>
      <c r="U10" s="3">
        <f t="shared" si="7"/>
        <v>1.9350000000000001</v>
      </c>
      <c r="V10" s="3">
        <f t="shared" si="7"/>
        <v>1.9900000000000002</v>
      </c>
      <c r="W10" s="3">
        <f t="shared" si="7"/>
        <v>2.0449999999999999</v>
      </c>
      <c r="X10" s="5">
        <f>$C$10/100*X3%+1*(1-X3%)</f>
        <v>2.1</v>
      </c>
    </row>
    <row r="11" spans="2:24" ht="16.5" x14ac:dyDescent="0.25">
      <c r="B11" s="612"/>
      <c r="C11" s="2">
        <v>220</v>
      </c>
      <c r="D11" s="3">
        <f t="shared" ref="D11:W11" si="8">$C$11/100*D3%+1*(1-D3%)</f>
        <v>1</v>
      </c>
      <c r="E11" s="3">
        <f t="shared" si="8"/>
        <v>1.06</v>
      </c>
      <c r="F11" s="3">
        <f t="shared" si="8"/>
        <v>1.1200000000000001</v>
      </c>
      <c r="G11" s="3">
        <f t="shared" si="8"/>
        <v>1.18</v>
      </c>
      <c r="H11" s="3">
        <f t="shared" si="8"/>
        <v>1.2400000000000002</v>
      </c>
      <c r="I11" s="3">
        <f t="shared" si="8"/>
        <v>1.3</v>
      </c>
      <c r="J11" s="3">
        <f t="shared" si="8"/>
        <v>1.3599999999999999</v>
      </c>
      <c r="K11" s="3">
        <f t="shared" si="8"/>
        <v>1.42</v>
      </c>
      <c r="L11" s="3">
        <f t="shared" si="8"/>
        <v>1.48</v>
      </c>
      <c r="M11" s="3">
        <f t="shared" si="8"/>
        <v>1.54</v>
      </c>
      <c r="N11" s="3">
        <f t="shared" si="8"/>
        <v>1.6</v>
      </c>
      <c r="O11" s="3">
        <f t="shared" si="8"/>
        <v>1.6600000000000001</v>
      </c>
      <c r="P11" s="3">
        <f t="shared" si="8"/>
        <v>1.7200000000000002</v>
      </c>
      <c r="Q11" s="3">
        <f t="shared" si="8"/>
        <v>1.7800000000000002</v>
      </c>
      <c r="R11" s="3">
        <f t="shared" si="8"/>
        <v>1.84</v>
      </c>
      <c r="S11" s="3">
        <f t="shared" si="8"/>
        <v>1.9000000000000001</v>
      </c>
      <c r="T11" s="3">
        <f t="shared" si="8"/>
        <v>1.9600000000000002</v>
      </c>
      <c r="U11" s="3">
        <f t="shared" si="8"/>
        <v>2.02</v>
      </c>
      <c r="V11" s="3">
        <f t="shared" si="8"/>
        <v>2.08</v>
      </c>
      <c r="W11" s="3">
        <f t="shared" si="8"/>
        <v>2.1399999999999997</v>
      </c>
      <c r="X11" s="5">
        <f>$C$11/100*X3%+1*(1-X3%)</f>
        <v>2.2000000000000002</v>
      </c>
    </row>
    <row r="12" spans="2:24" ht="16.5" x14ac:dyDescent="0.25">
      <c r="B12" s="612"/>
      <c r="C12" s="2">
        <v>230</v>
      </c>
      <c r="D12" s="3">
        <f t="shared" ref="D12:W12" si="9">$C$12/100*D3%+1*(1-D3%)</f>
        <v>1</v>
      </c>
      <c r="E12" s="3">
        <f t="shared" si="9"/>
        <v>1.0649999999999999</v>
      </c>
      <c r="F12" s="3">
        <f t="shared" si="9"/>
        <v>1.1299999999999999</v>
      </c>
      <c r="G12" s="3">
        <f t="shared" si="9"/>
        <v>1.1949999999999998</v>
      </c>
      <c r="H12" s="3">
        <f t="shared" si="9"/>
        <v>1.26</v>
      </c>
      <c r="I12" s="3">
        <f t="shared" si="9"/>
        <v>1.325</v>
      </c>
      <c r="J12" s="3">
        <f t="shared" si="9"/>
        <v>1.39</v>
      </c>
      <c r="K12" s="3">
        <f t="shared" si="9"/>
        <v>1.4550000000000001</v>
      </c>
      <c r="L12" s="3">
        <f t="shared" si="9"/>
        <v>1.52</v>
      </c>
      <c r="M12" s="3">
        <f t="shared" si="9"/>
        <v>1.585</v>
      </c>
      <c r="N12" s="3">
        <f t="shared" si="9"/>
        <v>1.65</v>
      </c>
      <c r="O12" s="3">
        <f t="shared" si="9"/>
        <v>1.7149999999999999</v>
      </c>
      <c r="P12" s="3">
        <f t="shared" si="9"/>
        <v>1.7799999999999998</v>
      </c>
      <c r="Q12" s="3">
        <f t="shared" si="9"/>
        <v>1.8449999999999998</v>
      </c>
      <c r="R12" s="3">
        <f t="shared" si="9"/>
        <v>1.91</v>
      </c>
      <c r="S12" s="3">
        <f t="shared" si="9"/>
        <v>1.9749999999999999</v>
      </c>
      <c r="T12" s="3">
        <f t="shared" si="9"/>
        <v>2.04</v>
      </c>
      <c r="U12" s="3">
        <f t="shared" si="9"/>
        <v>2.105</v>
      </c>
      <c r="V12" s="3">
        <f t="shared" si="9"/>
        <v>2.17</v>
      </c>
      <c r="W12" s="3">
        <f t="shared" si="9"/>
        <v>2.2349999999999994</v>
      </c>
      <c r="X12" s="5">
        <f>$C$12/100*X3%+1*(1-X3%)</f>
        <v>2.2999999999999998</v>
      </c>
    </row>
    <row r="13" spans="2:24" ht="16.5" x14ac:dyDescent="0.25">
      <c r="B13" s="612"/>
      <c r="C13" s="2">
        <v>240</v>
      </c>
      <c r="D13" s="3">
        <f t="shared" ref="D13:W13" si="10">$C$13/100*D3%+1*(1-D3%)</f>
        <v>1</v>
      </c>
      <c r="E13" s="3">
        <f t="shared" si="10"/>
        <v>1.0699999999999998</v>
      </c>
      <c r="F13" s="3">
        <f t="shared" si="10"/>
        <v>1.1400000000000001</v>
      </c>
      <c r="G13" s="3">
        <f t="shared" si="10"/>
        <v>1.21</v>
      </c>
      <c r="H13" s="3">
        <f t="shared" si="10"/>
        <v>1.28</v>
      </c>
      <c r="I13" s="3">
        <f t="shared" si="10"/>
        <v>1.35</v>
      </c>
      <c r="J13" s="3">
        <f t="shared" si="10"/>
        <v>1.42</v>
      </c>
      <c r="K13" s="3">
        <f t="shared" si="10"/>
        <v>1.49</v>
      </c>
      <c r="L13" s="3">
        <f t="shared" si="10"/>
        <v>1.56</v>
      </c>
      <c r="M13" s="3">
        <f t="shared" si="10"/>
        <v>1.6300000000000001</v>
      </c>
      <c r="N13" s="3">
        <f t="shared" si="10"/>
        <v>1.7</v>
      </c>
      <c r="O13" s="3">
        <f t="shared" si="10"/>
        <v>1.77</v>
      </c>
      <c r="P13" s="3">
        <f t="shared" si="10"/>
        <v>1.8399999999999999</v>
      </c>
      <c r="Q13" s="3">
        <f t="shared" si="10"/>
        <v>1.9100000000000001</v>
      </c>
      <c r="R13" s="3">
        <f t="shared" si="10"/>
        <v>1.98</v>
      </c>
      <c r="S13" s="3">
        <f t="shared" si="10"/>
        <v>2.0499999999999998</v>
      </c>
      <c r="T13" s="3">
        <f t="shared" si="10"/>
        <v>2.12</v>
      </c>
      <c r="U13" s="3">
        <f t="shared" si="10"/>
        <v>2.19</v>
      </c>
      <c r="V13" s="3">
        <f t="shared" si="10"/>
        <v>2.2600000000000002</v>
      </c>
      <c r="W13" s="3">
        <f t="shared" si="10"/>
        <v>2.33</v>
      </c>
      <c r="X13" s="3">
        <f>$C$13/100*X3%+1*(1-X3%)</f>
        <v>2.4</v>
      </c>
    </row>
    <row r="14" spans="2:24" ht="16.5" x14ac:dyDescent="0.25">
      <c r="B14" s="612"/>
      <c r="C14" s="2">
        <v>250</v>
      </c>
      <c r="D14" s="3">
        <f t="shared" ref="D14:I14" si="11">$C$14/100*D3%+1*(1-D3%)</f>
        <v>1</v>
      </c>
      <c r="E14" s="3">
        <f t="shared" si="11"/>
        <v>1.075</v>
      </c>
      <c r="F14" s="3">
        <f t="shared" si="11"/>
        <v>1.1499999999999999</v>
      </c>
      <c r="G14" s="3">
        <f t="shared" si="11"/>
        <v>1.2250000000000001</v>
      </c>
      <c r="H14" s="3">
        <f t="shared" si="11"/>
        <v>1.3</v>
      </c>
      <c r="I14" s="3">
        <f t="shared" si="11"/>
        <v>1.375</v>
      </c>
      <c r="J14" s="3">
        <f>$C$14/100*J3%+1*(1-J3%)</f>
        <v>1.45</v>
      </c>
      <c r="K14" s="3">
        <f t="shared" ref="K14:X14" si="12">$C$14/100*K3%+1*(1-K3%)</f>
        <v>1.5249999999999999</v>
      </c>
      <c r="L14" s="3">
        <f t="shared" si="12"/>
        <v>1.6</v>
      </c>
      <c r="M14" s="3">
        <f t="shared" si="12"/>
        <v>1.675</v>
      </c>
      <c r="N14" s="3">
        <f t="shared" si="12"/>
        <v>1.75</v>
      </c>
      <c r="O14" s="3">
        <f t="shared" si="12"/>
        <v>1.825</v>
      </c>
      <c r="P14" s="3">
        <f t="shared" si="12"/>
        <v>1.9</v>
      </c>
      <c r="Q14" s="3">
        <f t="shared" si="12"/>
        <v>1.9750000000000001</v>
      </c>
      <c r="R14" s="3">
        <f t="shared" si="12"/>
        <v>2.0499999999999998</v>
      </c>
      <c r="S14" s="3">
        <f t="shared" si="12"/>
        <v>2.125</v>
      </c>
      <c r="T14" s="3">
        <f t="shared" si="12"/>
        <v>2.2000000000000002</v>
      </c>
      <c r="U14" s="3">
        <f t="shared" si="12"/>
        <v>2.2749999999999999</v>
      </c>
      <c r="V14" s="3">
        <f t="shared" si="12"/>
        <v>2.35</v>
      </c>
      <c r="W14" s="3">
        <f t="shared" si="12"/>
        <v>2.4249999999999998</v>
      </c>
      <c r="X14" s="3">
        <f t="shared" si="12"/>
        <v>2.5</v>
      </c>
    </row>
    <row r="15" spans="2:24" ht="16.5" x14ac:dyDescent="0.25">
      <c r="B15" s="612"/>
      <c r="C15" s="2">
        <v>260</v>
      </c>
      <c r="D15" s="3">
        <f t="shared" ref="D15:W15" si="13">$C$15/100*D3%+1*(1-D3%)</f>
        <v>1</v>
      </c>
      <c r="E15" s="3">
        <f t="shared" si="13"/>
        <v>1.08</v>
      </c>
      <c r="F15" s="3">
        <f t="shared" si="13"/>
        <v>1.1600000000000001</v>
      </c>
      <c r="G15" s="3">
        <f t="shared" si="13"/>
        <v>1.24</v>
      </c>
      <c r="H15" s="3">
        <f t="shared" si="13"/>
        <v>1.32</v>
      </c>
      <c r="I15" s="3">
        <f t="shared" si="13"/>
        <v>1.4</v>
      </c>
      <c r="J15" s="3">
        <f t="shared" si="13"/>
        <v>1.48</v>
      </c>
      <c r="K15" s="3">
        <f t="shared" si="13"/>
        <v>1.56</v>
      </c>
      <c r="L15" s="3">
        <f t="shared" si="13"/>
        <v>1.6400000000000001</v>
      </c>
      <c r="M15" s="3">
        <f t="shared" si="13"/>
        <v>1.7200000000000002</v>
      </c>
      <c r="N15" s="3">
        <f t="shared" si="13"/>
        <v>1.8</v>
      </c>
      <c r="O15" s="3">
        <f t="shared" si="13"/>
        <v>1.8800000000000001</v>
      </c>
      <c r="P15" s="3">
        <f t="shared" si="13"/>
        <v>1.96</v>
      </c>
      <c r="Q15" s="3">
        <f t="shared" si="13"/>
        <v>2.04</v>
      </c>
      <c r="R15" s="3">
        <f t="shared" si="13"/>
        <v>2.12</v>
      </c>
      <c r="S15" s="3">
        <f t="shared" si="13"/>
        <v>2.2000000000000002</v>
      </c>
      <c r="T15" s="3">
        <f t="shared" si="13"/>
        <v>2.2800000000000002</v>
      </c>
      <c r="U15" s="3">
        <f t="shared" si="13"/>
        <v>2.36</v>
      </c>
      <c r="V15" s="3">
        <f t="shared" si="13"/>
        <v>2.4400000000000004</v>
      </c>
      <c r="W15" s="3">
        <f t="shared" si="13"/>
        <v>2.5199999999999996</v>
      </c>
      <c r="X15" s="3">
        <f>$C$15/100*X3%+1*(1-X3%)</f>
        <v>2.6</v>
      </c>
    </row>
    <row r="16" spans="2:24" ht="16.5" x14ac:dyDescent="0.25">
      <c r="B16" s="612"/>
      <c r="C16" s="2">
        <v>270</v>
      </c>
      <c r="D16" s="3">
        <f t="shared" ref="D16:W16" si="14">$C$16/100*D3%+1*(1-D3%)</f>
        <v>1</v>
      </c>
      <c r="E16" s="3">
        <f t="shared" si="14"/>
        <v>1.085</v>
      </c>
      <c r="F16" s="3">
        <f t="shared" si="14"/>
        <v>1.17</v>
      </c>
      <c r="G16" s="3">
        <f t="shared" si="14"/>
        <v>1.2549999999999999</v>
      </c>
      <c r="H16" s="3">
        <f t="shared" si="14"/>
        <v>1.34</v>
      </c>
      <c r="I16" s="3">
        <f t="shared" si="14"/>
        <v>1.425</v>
      </c>
      <c r="J16" s="3">
        <f t="shared" si="14"/>
        <v>1.51</v>
      </c>
      <c r="K16" s="3">
        <f t="shared" si="14"/>
        <v>1.595</v>
      </c>
      <c r="L16" s="3">
        <f t="shared" si="14"/>
        <v>1.6800000000000002</v>
      </c>
      <c r="M16" s="3">
        <f t="shared" si="14"/>
        <v>1.7650000000000001</v>
      </c>
      <c r="N16" s="3">
        <f t="shared" si="14"/>
        <v>1.85</v>
      </c>
      <c r="O16" s="3">
        <f t="shared" si="14"/>
        <v>1.9350000000000003</v>
      </c>
      <c r="P16" s="3">
        <f t="shared" si="14"/>
        <v>2.02</v>
      </c>
      <c r="Q16" s="3">
        <f t="shared" si="14"/>
        <v>2.105</v>
      </c>
      <c r="R16" s="3">
        <f t="shared" si="14"/>
        <v>2.19</v>
      </c>
      <c r="S16" s="3">
        <f t="shared" si="14"/>
        <v>2.2750000000000004</v>
      </c>
      <c r="T16" s="3">
        <f t="shared" si="14"/>
        <v>2.3600000000000003</v>
      </c>
      <c r="U16" s="3">
        <f t="shared" si="14"/>
        <v>2.4449999999999998</v>
      </c>
      <c r="V16" s="3">
        <f t="shared" si="14"/>
        <v>2.5300000000000002</v>
      </c>
      <c r="W16" s="3">
        <f t="shared" si="14"/>
        <v>2.6150000000000002</v>
      </c>
      <c r="X16" s="3">
        <f>$C$16/100*X3%+1*(1-X3%)</f>
        <v>2.7</v>
      </c>
    </row>
    <row r="17" spans="2:24" ht="16.5" x14ac:dyDescent="0.25">
      <c r="B17" s="612"/>
      <c r="C17" s="2">
        <v>280</v>
      </c>
      <c r="D17" s="3">
        <f t="shared" ref="D17:W17" si="15">$C$17/100*D3%+1*(1-D3%)</f>
        <v>1</v>
      </c>
      <c r="E17" s="3">
        <f t="shared" si="15"/>
        <v>1.0899999999999999</v>
      </c>
      <c r="F17" s="3">
        <f t="shared" si="15"/>
        <v>1.18</v>
      </c>
      <c r="G17" s="3">
        <f t="shared" si="15"/>
        <v>1.27</v>
      </c>
      <c r="H17" s="3">
        <f t="shared" si="15"/>
        <v>1.3599999999999999</v>
      </c>
      <c r="I17" s="3">
        <f t="shared" si="15"/>
        <v>1.45</v>
      </c>
      <c r="J17" s="3">
        <f t="shared" si="15"/>
        <v>1.54</v>
      </c>
      <c r="K17" s="3">
        <f t="shared" si="15"/>
        <v>1.63</v>
      </c>
      <c r="L17" s="3">
        <f t="shared" si="15"/>
        <v>1.7199999999999998</v>
      </c>
      <c r="M17" s="3">
        <f t="shared" si="15"/>
        <v>1.81</v>
      </c>
      <c r="N17" s="3">
        <f t="shared" si="15"/>
        <v>1.9</v>
      </c>
      <c r="O17" s="3">
        <f t="shared" si="15"/>
        <v>1.99</v>
      </c>
      <c r="P17" s="3">
        <f t="shared" si="15"/>
        <v>2.08</v>
      </c>
      <c r="Q17" s="3">
        <f t="shared" si="15"/>
        <v>2.17</v>
      </c>
      <c r="R17" s="3">
        <f t="shared" si="15"/>
        <v>2.2599999999999998</v>
      </c>
      <c r="S17" s="3">
        <f t="shared" si="15"/>
        <v>2.3499999999999996</v>
      </c>
      <c r="T17" s="3">
        <f t="shared" si="15"/>
        <v>2.4399999999999995</v>
      </c>
      <c r="U17" s="3">
        <f t="shared" si="15"/>
        <v>2.5299999999999998</v>
      </c>
      <c r="V17" s="3">
        <f t="shared" si="15"/>
        <v>2.62</v>
      </c>
      <c r="W17" s="3">
        <f t="shared" si="15"/>
        <v>2.71</v>
      </c>
      <c r="X17" s="3">
        <f>$C$17/100*X3%+1*(1-X3%)</f>
        <v>2.8</v>
      </c>
    </row>
    <row r="18" spans="2:24" ht="16.5" x14ac:dyDescent="0.25">
      <c r="B18" s="612"/>
      <c r="C18" s="2">
        <v>290</v>
      </c>
      <c r="D18" s="3">
        <f t="shared" ref="D18:W18" si="16">$C$18/100*D3%+1*(1-D3%)</f>
        <v>1</v>
      </c>
      <c r="E18" s="3">
        <f t="shared" si="16"/>
        <v>1.095</v>
      </c>
      <c r="F18" s="3">
        <f t="shared" si="16"/>
        <v>1.19</v>
      </c>
      <c r="G18" s="3">
        <f t="shared" si="16"/>
        <v>1.2849999999999999</v>
      </c>
      <c r="H18" s="3">
        <f t="shared" si="16"/>
        <v>1.38</v>
      </c>
      <c r="I18" s="3">
        <f t="shared" si="16"/>
        <v>1.4750000000000001</v>
      </c>
      <c r="J18" s="3">
        <f t="shared" si="16"/>
        <v>1.5699999999999998</v>
      </c>
      <c r="K18" s="3">
        <f t="shared" si="16"/>
        <v>1.665</v>
      </c>
      <c r="L18" s="3">
        <f t="shared" si="16"/>
        <v>1.7599999999999998</v>
      </c>
      <c r="M18" s="3">
        <f t="shared" si="16"/>
        <v>1.855</v>
      </c>
      <c r="N18" s="3">
        <f t="shared" si="16"/>
        <v>1.95</v>
      </c>
      <c r="O18" s="3">
        <f t="shared" si="16"/>
        <v>2.0449999999999999</v>
      </c>
      <c r="P18" s="3">
        <f t="shared" si="16"/>
        <v>2.14</v>
      </c>
      <c r="Q18" s="3">
        <f t="shared" si="16"/>
        <v>2.2349999999999999</v>
      </c>
      <c r="R18" s="3">
        <f t="shared" si="16"/>
        <v>2.33</v>
      </c>
      <c r="S18" s="3">
        <f t="shared" si="16"/>
        <v>2.4249999999999998</v>
      </c>
      <c r="T18" s="3">
        <f t="shared" si="16"/>
        <v>2.5199999999999996</v>
      </c>
      <c r="U18" s="3">
        <f t="shared" si="16"/>
        <v>2.6149999999999998</v>
      </c>
      <c r="V18" s="3">
        <f t="shared" si="16"/>
        <v>2.71</v>
      </c>
      <c r="W18" s="3">
        <f t="shared" si="16"/>
        <v>2.8049999999999997</v>
      </c>
      <c r="X18" s="3">
        <f>$C$18/100*X3%+1*(1-X3%)</f>
        <v>2.9</v>
      </c>
    </row>
    <row r="19" spans="2:24" ht="16.5" x14ac:dyDescent="0.25">
      <c r="B19" s="612"/>
      <c r="C19" s="2">
        <v>300</v>
      </c>
      <c r="D19" s="3">
        <f t="shared" ref="D19:I19" si="17">$C$19/100*D3%+1*(1-D3%)</f>
        <v>1</v>
      </c>
      <c r="E19" s="3">
        <f t="shared" si="17"/>
        <v>1.1000000000000001</v>
      </c>
      <c r="F19" s="3">
        <f t="shared" si="17"/>
        <v>1.2000000000000002</v>
      </c>
      <c r="G19" s="3">
        <f t="shared" si="17"/>
        <v>1.2999999999999998</v>
      </c>
      <c r="H19" s="3">
        <f t="shared" si="17"/>
        <v>1.4000000000000001</v>
      </c>
      <c r="I19" s="3">
        <f t="shared" si="17"/>
        <v>1.5</v>
      </c>
      <c r="J19" s="3">
        <f>$C$19/100*J3%+1*(1-J3%)</f>
        <v>1.5999999999999999</v>
      </c>
      <c r="K19" s="3">
        <f t="shared" ref="K19:X19" si="18">$C$19/100*K3%+1*(1-K3%)</f>
        <v>1.6999999999999997</v>
      </c>
      <c r="L19" s="3">
        <f t="shared" si="18"/>
        <v>1.8000000000000003</v>
      </c>
      <c r="M19" s="3">
        <f t="shared" si="18"/>
        <v>1.9000000000000001</v>
      </c>
      <c r="N19" s="3">
        <f t="shared" si="18"/>
        <v>2</v>
      </c>
      <c r="O19" s="3">
        <f t="shared" si="18"/>
        <v>2.1</v>
      </c>
      <c r="P19" s="3">
        <f t="shared" si="18"/>
        <v>2.1999999999999997</v>
      </c>
      <c r="Q19" s="3">
        <f t="shared" si="18"/>
        <v>2.3000000000000003</v>
      </c>
      <c r="R19" s="3">
        <f t="shared" si="18"/>
        <v>2.3999999999999995</v>
      </c>
      <c r="S19" s="3">
        <f t="shared" si="18"/>
        <v>2.5</v>
      </c>
      <c r="T19" s="3">
        <f t="shared" si="18"/>
        <v>2.6000000000000005</v>
      </c>
      <c r="U19" s="3">
        <f t="shared" si="18"/>
        <v>2.6999999999999997</v>
      </c>
      <c r="V19" s="3">
        <f t="shared" si="18"/>
        <v>2.8000000000000003</v>
      </c>
      <c r="W19" s="3">
        <f t="shared" si="18"/>
        <v>2.8999999999999995</v>
      </c>
      <c r="X19" s="3">
        <f t="shared" si="18"/>
        <v>3</v>
      </c>
    </row>
    <row r="20" spans="2:24" ht="16.5" x14ac:dyDescent="0.25">
      <c r="B20" s="612"/>
      <c r="C20" s="2">
        <v>350</v>
      </c>
      <c r="D20" s="3">
        <f t="shared" ref="D20:I20" si="19">$C$20/100*D3%+1*(1-D3%)</f>
        <v>1</v>
      </c>
      <c r="E20" s="3">
        <f t="shared" si="19"/>
        <v>1.125</v>
      </c>
      <c r="F20" s="3">
        <f t="shared" si="19"/>
        <v>1.25</v>
      </c>
      <c r="G20" s="3">
        <f t="shared" si="19"/>
        <v>1.375</v>
      </c>
      <c r="H20" s="3">
        <f t="shared" si="19"/>
        <v>1.5</v>
      </c>
      <c r="I20" s="3">
        <f t="shared" si="19"/>
        <v>1.625</v>
      </c>
      <c r="J20" s="3">
        <f>$C$20/100*J3%+1*(1-J3%)</f>
        <v>1.75</v>
      </c>
      <c r="K20" s="3">
        <f t="shared" ref="K20:X20" si="20">$C$20/100*K3%+1*(1-K3%)</f>
        <v>1.875</v>
      </c>
      <c r="L20" s="3">
        <f t="shared" si="20"/>
        <v>2</v>
      </c>
      <c r="M20" s="3">
        <f t="shared" si="20"/>
        <v>2.125</v>
      </c>
      <c r="N20" s="3">
        <f t="shared" si="20"/>
        <v>2.25</v>
      </c>
      <c r="O20" s="3">
        <f t="shared" si="20"/>
        <v>2.375</v>
      </c>
      <c r="P20" s="3">
        <f t="shared" si="20"/>
        <v>2.5</v>
      </c>
      <c r="Q20" s="3">
        <f t="shared" si="20"/>
        <v>2.625</v>
      </c>
      <c r="R20" s="3">
        <f t="shared" si="20"/>
        <v>2.75</v>
      </c>
      <c r="S20" s="3">
        <f t="shared" si="20"/>
        <v>2.875</v>
      </c>
      <c r="T20" s="3">
        <f t="shared" si="20"/>
        <v>3</v>
      </c>
      <c r="U20" s="3">
        <f t="shared" si="20"/>
        <v>3.125</v>
      </c>
      <c r="V20" s="3">
        <f t="shared" si="20"/>
        <v>3.25</v>
      </c>
      <c r="W20" s="3">
        <f t="shared" si="20"/>
        <v>3.375</v>
      </c>
      <c r="X20" s="3">
        <f t="shared" si="20"/>
        <v>3.5</v>
      </c>
    </row>
    <row r="21" spans="2:24" ht="16.5" x14ac:dyDescent="0.25">
      <c r="B21" s="612"/>
      <c r="C21" s="2">
        <v>400</v>
      </c>
      <c r="D21" s="3">
        <f t="shared" ref="D21:I21" si="21">$C$21/100*D3%+1*(1-D3%)</f>
        <v>1</v>
      </c>
      <c r="E21" s="3">
        <f t="shared" si="21"/>
        <v>1.1499999999999999</v>
      </c>
      <c r="F21" s="3">
        <f t="shared" si="21"/>
        <v>1.3</v>
      </c>
      <c r="G21" s="3">
        <f t="shared" si="21"/>
        <v>1.45</v>
      </c>
      <c r="H21" s="3">
        <f t="shared" si="21"/>
        <v>1.6</v>
      </c>
      <c r="I21" s="3">
        <f t="shared" si="21"/>
        <v>1.75</v>
      </c>
      <c r="J21" s="3">
        <f>$C$21/100*J3%+1*(1-J3%)</f>
        <v>1.9</v>
      </c>
      <c r="K21" s="3">
        <f t="shared" ref="K21:X21" si="22">$C$21/100*K3%+1*(1-K3%)</f>
        <v>2.0499999999999998</v>
      </c>
      <c r="L21" s="3">
        <f t="shared" si="22"/>
        <v>2.2000000000000002</v>
      </c>
      <c r="M21" s="3">
        <f t="shared" si="22"/>
        <v>2.35</v>
      </c>
      <c r="N21" s="3">
        <f t="shared" si="22"/>
        <v>2.5</v>
      </c>
      <c r="O21" s="3">
        <f t="shared" si="22"/>
        <v>2.6500000000000004</v>
      </c>
      <c r="P21" s="3">
        <f t="shared" si="22"/>
        <v>2.8</v>
      </c>
      <c r="Q21" s="3">
        <f t="shared" si="22"/>
        <v>2.95</v>
      </c>
      <c r="R21" s="3">
        <f t="shared" si="22"/>
        <v>3.0999999999999996</v>
      </c>
      <c r="S21" s="3">
        <f t="shared" si="22"/>
        <v>3.25</v>
      </c>
      <c r="T21" s="3">
        <f t="shared" si="22"/>
        <v>3.4000000000000004</v>
      </c>
      <c r="U21" s="3">
        <f t="shared" si="22"/>
        <v>3.55</v>
      </c>
      <c r="V21" s="3">
        <f t="shared" si="22"/>
        <v>3.7</v>
      </c>
      <c r="W21" s="3">
        <f t="shared" si="22"/>
        <v>3.8499999999999996</v>
      </c>
      <c r="X21" s="3">
        <f t="shared" si="22"/>
        <v>4</v>
      </c>
    </row>
    <row r="22" spans="2:24" ht="16.5" x14ac:dyDescent="0.25">
      <c r="B22" s="612"/>
      <c r="C22" s="2">
        <v>450</v>
      </c>
      <c r="D22" s="3">
        <f t="shared" ref="D22:I22" si="23">$C$22/100*D3%+1*(1-D3%)</f>
        <v>1</v>
      </c>
      <c r="E22" s="3">
        <f t="shared" si="23"/>
        <v>1.175</v>
      </c>
      <c r="F22" s="3">
        <f t="shared" si="23"/>
        <v>1.35</v>
      </c>
      <c r="G22" s="3">
        <f t="shared" si="23"/>
        <v>1.5249999999999999</v>
      </c>
      <c r="H22" s="3">
        <f t="shared" si="23"/>
        <v>1.7000000000000002</v>
      </c>
      <c r="I22" s="3">
        <f t="shared" si="23"/>
        <v>1.875</v>
      </c>
      <c r="J22" s="3">
        <f>$C$22/100*J3%+1*(1-J3%)</f>
        <v>2.0499999999999998</v>
      </c>
      <c r="K22" s="3">
        <f t="shared" ref="K22:X22" si="24">$C$22/100*K3%+1*(1-K3%)</f>
        <v>2.2250000000000001</v>
      </c>
      <c r="L22" s="3">
        <f t="shared" si="24"/>
        <v>2.4</v>
      </c>
      <c r="M22" s="3">
        <f t="shared" si="24"/>
        <v>2.5750000000000002</v>
      </c>
      <c r="N22" s="3">
        <f t="shared" si="24"/>
        <v>2.75</v>
      </c>
      <c r="O22" s="3">
        <f t="shared" si="24"/>
        <v>2.9249999999999998</v>
      </c>
      <c r="P22" s="3">
        <f t="shared" si="24"/>
        <v>3.0999999999999996</v>
      </c>
      <c r="Q22" s="3">
        <f t="shared" si="24"/>
        <v>3.2750000000000004</v>
      </c>
      <c r="R22" s="3">
        <f t="shared" si="24"/>
        <v>3.45</v>
      </c>
      <c r="S22" s="3">
        <f t="shared" si="24"/>
        <v>3.625</v>
      </c>
      <c r="T22" s="3">
        <f t="shared" si="24"/>
        <v>3.8</v>
      </c>
      <c r="U22" s="3">
        <f t="shared" si="24"/>
        <v>3.9749999999999996</v>
      </c>
      <c r="V22" s="3">
        <f t="shared" si="24"/>
        <v>4.1499999999999995</v>
      </c>
      <c r="W22" s="3">
        <f t="shared" si="24"/>
        <v>4.3249999999999993</v>
      </c>
      <c r="X22" s="3">
        <f t="shared" si="24"/>
        <v>4.5</v>
      </c>
    </row>
    <row r="23" spans="2:24" ht="16.5" x14ac:dyDescent="0.25">
      <c r="B23" s="612"/>
      <c r="C23" s="2">
        <v>500</v>
      </c>
      <c r="D23" s="3">
        <f t="shared" ref="D23:I23" si="25">$C$23/100*D3%+1*(1-D3%)</f>
        <v>1</v>
      </c>
      <c r="E23" s="3">
        <f t="shared" si="25"/>
        <v>1.2</v>
      </c>
      <c r="F23" s="3">
        <f t="shared" si="25"/>
        <v>1.4</v>
      </c>
      <c r="G23" s="3">
        <f t="shared" si="25"/>
        <v>1.6</v>
      </c>
      <c r="H23" s="3">
        <f t="shared" si="25"/>
        <v>1.8</v>
      </c>
      <c r="I23" s="3">
        <f t="shared" si="25"/>
        <v>2</v>
      </c>
      <c r="J23" s="3">
        <f>$C$23/100*J3%+1*(1-J3%)</f>
        <v>2.2000000000000002</v>
      </c>
      <c r="K23" s="3">
        <f t="shared" ref="K23:X23" si="26">$C$23/100*K3%+1*(1-K3%)</f>
        <v>2.4</v>
      </c>
      <c r="L23" s="3">
        <f t="shared" si="26"/>
        <v>2.6</v>
      </c>
      <c r="M23" s="3">
        <f t="shared" si="26"/>
        <v>2.8</v>
      </c>
      <c r="N23" s="3">
        <f t="shared" si="26"/>
        <v>3</v>
      </c>
      <c r="O23" s="3">
        <f t="shared" si="26"/>
        <v>3.2</v>
      </c>
      <c r="P23" s="3">
        <f t="shared" si="26"/>
        <v>3.4</v>
      </c>
      <c r="Q23" s="3">
        <f t="shared" si="26"/>
        <v>3.6</v>
      </c>
      <c r="R23" s="3">
        <f t="shared" si="26"/>
        <v>3.8</v>
      </c>
      <c r="S23" s="3">
        <f t="shared" si="26"/>
        <v>4</v>
      </c>
      <c r="T23" s="3">
        <f t="shared" si="26"/>
        <v>4.2</v>
      </c>
      <c r="U23" s="3">
        <f t="shared" si="26"/>
        <v>4.4000000000000004</v>
      </c>
      <c r="V23" s="3">
        <f t="shared" si="26"/>
        <v>4.5999999999999996</v>
      </c>
      <c r="W23" s="3">
        <f t="shared" si="26"/>
        <v>4.8</v>
      </c>
      <c r="X23" s="3">
        <f t="shared" si="26"/>
        <v>5</v>
      </c>
    </row>
    <row r="24" spans="2:24" ht="16.5" x14ac:dyDescent="0.25">
      <c r="B24" s="612"/>
      <c r="C24" s="2">
        <v>550</v>
      </c>
      <c r="D24" s="3">
        <f t="shared" ref="D24:I24" si="27">$C$24/100*D3%+1*(1-D3%)</f>
        <v>1</v>
      </c>
      <c r="E24" s="3">
        <f t="shared" si="27"/>
        <v>1.2250000000000001</v>
      </c>
      <c r="F24" s="3">
        <f t="shared" si="27"/>
        <v>1.4500000000000002</v>
      </c>
      <c r="G24" s="3">
        <f t="shared" si="27"/>
        <v>1.6749999999999998</v>
      </c>
      <c r="H24" s="3">
        <f t="shared" si="27"/>
        <v>1.9000000000000001</v>
      </c>
      <c r="I24" s="3">
        <f t="shared" si="27"/>
        <v>2.125</v>
      </c>
      <c r="J24" s="3">
        <f>$C$24/100*J3%+1*(1-J3%)</f>
        <v>2.3499999999999996</v>
      </c>
      <c r="K24" s="3">
        <f t="shared" ref="K24:X24" si="28">$C$24/100*K3%+1*(1-K3%)</f>
        <v>2.5749999999999997</v>
      </c>
      <c r="L24" s="3">
        <f t="shared" si="28"/>
        <v>2.8000000000000003</v>
      </c>
      <c r="M24" s="3">
        <f t="shared" si="28"/>
        <v>3.0250000000000004</v>
      </c>
      <c r="N24" s="3">
        <f t="shared" si="28"/>
        <v>3.25</v>
      </c>
      <c r="O24" s="3">
        <f t="shared" si="28"/>
        <v>3.4750000000000005</v>
      </c>
      <c r="P24" s="3">
        <f t="shared" si="28"/>
        <v>3.6999999999999997</v>
      </c>
      <c r="Q24" s="3">
        <f t="shared" si="28"/>
        <v>3.9250000000000003</v>
      </c>
      <c r="R24" s="3">
        <f t="shared" si="28"/>
        <v>4.1499999999999995</v>
      </c>
      <c r="S24" s="3">
        <f t="shared" si="28"/>
        <v>4.375</v>
      </c>
      <c r="T24" s="3">
        <f t="shared" si="28"/>
        <v>4.6000000000000005</v>
      </c>
      <c r="U24" s="3">
        <f t="shared" si="28"/>
        <v>4.8250000000000002</v>
      </c>
      <c r="V24" s="3">
        <f t="shared" si="28"/>
        <v>5.05</v>
      </c>
      <c r="W24" s="3">
        <f t="shared" si="28"/>
        <v>5.2749999999999995</v>
      </c>
      <c r="X24" s="3">
        <f t="shared" si="28"/>
        <v>5.5</v>
      </c>
    </row>
    <row r="25" spans="2:24" ht="16.5" x14ac:dyDescent="0.25">
      <c r="B25" s="612"/>
      <c r="C25" s="2">
        <v>600</v>
      </c>
      <c r="D25" s="3">
        <f t="shared" ref="D25:I25" si="29">$C$25/100*D3%+1*(1-D3%)</f>
        <v>1</v>
      </c>
      <c r="E25" s="3">
        <f t="shared" si="29"/>
        <v>1.25</v>
      </c>
      <c r="F25" s="3">
        <f t="shared" si="29"/>
        <v>1.5</v>
      </c>
      <c r="G25" s="3">
        <f t="shared" si="29"/>
        <v>1.75</v>
      </c>
      <c r="H25" s="3">
        <f t="shared" si="29"/>
        <v>2</v>
      </c>
      <c r="I25" s="3">
        <f t="shared" si="29"/>
        <v>2.25</v>
      </c>
      <c r="J25" s="3">
        <f>$C$25/100*J3%+1*(1-J3%)</f>
        <v>2.5</v>
      </c>
      <c r="K25" s="3">
        <f t="shared" ref="K25:X25" si="30">$C$25/100*K3%+1*(1-K3%)</f>
        <v>2.7499999999999996</v>
      </c>
      <c r="L25" s="3">
        <f t="shared" si="30"/>
        <v>3.0000000000000004</v>
      </c>
      <c r="M25" s="3">
        <f t="shared" si="30"/>
        <v>3.25</v>
      </c>
      <c r="N25" s="3">
        <f t="shared" si="30"/>
        <v>3.5</v>
      </c>
      <c r="O25" s="3">
        <f t="shared" si="30"/>
        <v>3.75</v>
      </c>
      <c r="P25" s="3">
        <f t="shared" si="30"/>
        <v>3.9999999999999996</v>
      </c>
      <c r="Q25" s="3">
        <f t="shared" si="30"/>
        <v>4.25</v>
      </c>
      <c r="R25" s="3">
        <f t="shared" si="30"/>
        <v>4.4999999999999991</v>
      </c>
      <c r="S25" s="3">
        <f t="shared" si="30"/>
        <v>4.75</v>
      </c>
      <c r="T25" s="3">
        <f t="shared" si="30"/>
        <v>5.0000000000000009</v>
      </c>
      <c r="U25" s="3">
        <f t="shared" si="30"/>
        <v>5.25</v>
      </c>
      <c r="V25" s="3">
        <f t="shared" si="30"/>
        <v>5.5</v>
      </c>
      <c r="W25" s="3">
        <f t="shared" si="30"/>
        <v>5.7499999999999991</v>
      </c>
      <c r="X25" s="3">
        <f t="shared" si="30"/>
        <v>6</v>
      </c>
    </row>
    <row r="26" spans="2:24" ht="16.5" x14ac:dyDescent="0.25">
      <c r="B26" s="612"/>
      <c r="C26" s="2">
        <v>650</v>
      </c>
      <c r="D26" s="3">
        <f t="shared" ref="D26:I26" si="31">$C$26/100*D3%+1*(1-D3%)</f>
        <v>1</v>
      </c>
      <c r="E26" s="3">
        <f t="shared" si="31"/>
        <v>1.2749999999999999</v>
      </c>
      <c r="F26" s="3">
        <f t="shared" si="31"/>
        <v>1.55</v>
      </c>
      <c r="G26" s="3">
        <f t="shared" si="31"/>
        <v>1.825</v>
      </c>
      <c r="H26" s="3">
        <f t="shared" si="31"/>
        <v>2.1</v>
      </c>
      <c r="I26" s="3">
        <f t="shared" si="31"/>
        <v>2.375</v>
      </c>
      <c r="J26" s="3">
        <f>$C$26/100*J3%+1*(1-J3%)</f>
        <v>2.65</v>
      </c>
      <c r="K26" s="3">
        <f t="shared" ref="K26:X26" si="32">$C$26/100*K3%+1*(1-K3%)</f>
        <v>2.9249999999999998</v>
      </c>
      <c r="L26" s="3">
        <f t="shared" si="32"/>
        <v>3.2</v>
      </c>
      <c r="M26" s="3">
        <f t="shared" si="32"/>
        <v>3.4750000000000005</v>
      </c>
      <c r="N26" s="3">
        <f t="shared" si="32"/>
        <v>3.75</v>
      </c>
      <c r="O26" s="3">
        <f t="shared" si="32"/>
        <v>4.0250000000000004</v>
      </c>
      <c r="P26" s="3">
        <f t="shared" si="32"/>
        <v>4.3</v>
      </c>
      <c r="Q26" s="3">
        <f t="shared" si="32"/>
        <v>4.5750000000000002</v>
      </c>
      <c r="R26" s="3">
        <f t="shared" si="32"/>
        <v>4.8499999999999996</v>
      </c>
      <c r="S26" s="3">
        <f t="shared" si="32"/>
        <v>5.125</v>
      </c>
      <c r="T26" s="3">
        <f t="shared" si="32"/>
        <v>5.4</v>
      </c>
      <c r="U26" s="3">
        <f t="shared" si="32"/>
        <v>5.6749999999999998</v>
      </c>
      <c r="V26" s="3">
        <f t="shared" si="32"/>
        <v>5.95</v>
      </c>
      <c r="W26" s="3">
        <f t="shared" si="32"/>
        <v>6.2249999999999996</v>
      </c>
      <c r="X26" s="3">
        <f t="shared" si="32"/>
        <v>6.5</v>
      </c>
    </row>
    <row r="27" spans="2:24" ht="16.5" x14ac:dyDescent="0.25">
      <c r="B27" s="612"/>
      <c r="C27" s="2">
        <v>700</v>
      </c>
      <c r="D27" s="3">
        <f t="shared" ref="D27:I27" si="33">$C$27/100*D3%+1*(1-D3%)</f>
        <v>1</v>
      </c>
      <c r="E27" s="3">
        <f t="shared" si="33"/>
        <v>1.3</v>
      </c>
      <c r="F27" s="3">
        <f t="shared" si="33"/>
        <v>1.6</v>
      </c>
      <c r="G27" s="3">
        <f t="shared" si="33"/>
        <v>1.9</v>
      </c>
      <c r="H27" s="3">
        <f t="shared" si="33"/>
        <v>2.2000000000000002</v>
      </c>
      <c r="I27" s="3">
        <f t="shared" si="33"/>
        <v>2.5</v>
      </c>
      <c r="J27" s="3">
        <f>$C$27/100*J3%+1*(1-J3%)</f>
        <v>2.8</v>
      </c>
      <c r="K27" s="3">
        <f t="shared" ref="K27:X27" si="34">$C$27/100*K3%+1*(1-K3%)</f>
        <v>3.0999999999999996</v>
      </c>
      <c r="L27" s="3">
        <f t="shared" si="34"/>
        <v>3.4000000000000004</v>
      </c>
      <c r="M27" s="3">
        <f t="shared" si="34"/>
        <v>3.7</v>
      </c>
      <c r="N27" s="3">
        <f t="shared" si="34"/>
        <v>4</v>
      </c>
      <c r="O27" s="3">
        <f t="shared" si="34"/>
        <v>4.3000000000000007</v>
      </c>
      <c r="P27" s="3">
        <f t="shared" si="34"/>
        <v>4.6000000000000005</v>
      </c>
      <c r="Q27" s="3">
        <f t="shared" si="34"/>
        <v>4.8999999999999995</v>
      </c>
      <c r="R27" s="3">
        <f t="shared" si="34"/>
        <v>5.1999999999999993</v>
      </c>
      <c r="S27" s="3">
        <f t="shared" si="34"/>
        <v>5.5</v>
      </c>
      <c r="T27" s="3">
        <f t="shared" si="34"/>
        <v>5.8000000000000007</v>
      </c>
      <c r="U27" s="3">
        <f t="shared" si="34"/>
        <v>6.1000000000000005</v>
      </c>
      <c r="V27" s="3">
        <f t="shared" si="34"/>
        <v>6.3999999999999995</v>
      </c>
      <c r="W27" s="3">
        <f t="shared" si="34"/>
        <v>6.6999999999999993</v>
      </c>
      <c r="X27" s="3">
        <f t="shared" si="34"/>
        <v>7</v>
      </c>
    </row>
    <row r="28" spans="2:24" ht="16.5" x14ac:dyDescent="0.25">
      <c r="B28" s="612"/>
      <c r="C28" s="2">
        <v>750</v>
      </c>
      <c r="D28" s="3">
        <f t="shared" ref="D28:I28" si="35">$C$28/100*D3%+1*(1-D3%)</f>
        <v>1</v>
      </c>
      <c r="E28" s="3">
        <f t="shared" si="35"/>
        <v>1.325</v>
      </c>
      <c r="F28" s="3">
        <f t="shared" si="35"/>
        <v>1.65</v>
      </c>
      <c r="G28" s="3">
        <f t="shared" si="35"/>
        <v>1.9750000000000001</v>
      </c>
      <c r="H28" s="3">
        <f t="shared" si="35"/>
        <v>2.2999999999999998</v>
      </c>
      <c r="I28" s="3">
        <f t="shared" si="35"/>
        <v>2.625</v>
      </c>
      <c r="J28" s="3">
        <f>$C$28/100*J3%+1*(1-J3%)</f>
        <v>2.95</v>
      </c>
      <c r="K28" s="3">
        <f t="shared" ref="K28:X28" si="36">$C$28/100*K3%+1*(1-K3%)</f>
        <v>3.2749999999999999</v>
      </c>
      <c r="L28" s="3">
        <f t="shared" si="36"/>
        <v>3.6</v>
      </c>
      <c r="M28" s="3">
        <f t="shared" si="36"/>
        <v>3.9249999999999998</v>
      </c>
      <c r="N28" s="3">
        <f t="shared" si="36"/>
        <v>4.25</v>
      </c>
      <c r="O28" s="3">
        <f t="shared" si="36"/>
        <v>4.5750000000000002</v>
      </c>
      <c r="P28" s="3">
        <f t="shared" si="36"/>
        <v>4.9000000000000004</v>
      </c>
      <c r="Q28" s="3">
        <f t="shared" si="36"/>
        <v>5.2249999999999996</v>
      </c>
      <c r="R28" s="3">
        <f t="shared" si="36"/>
        <v>5.55</v>
      </c>
      <c r="S28" s="3">
        <f t="shared" si="36"/>
        <v>5.875</v>
      </c>
      <c r="T28" s="3">
        <f t="shared" si="36"/>
        <v>6.2</v>
      </c>
      <c r="U28" s="3">
        <f t="shared" si="36"/>
        <v>6.5250000000000004</v>
      </c>
      <c r="V28" s="3">
        <f t="shared" si="36"/>
        <v>6.85</v>
      </c>
      <c r="W28" s="3">
        <f t="shared" si="36"/>
        <v>7.1749999999999998</v>
      </c>
      <c r="X28" s="3">
        <f t="shared" si="36"/>
        <v>7.5</v>
      </c>
    </row>
    <row r="29" spans="2:24" ht="16.5" x14ac:dyDescent="0.25">
      <c r="B29" s="613"/>
      <c r="C29" s="2">
        <v>800</v>
      </c>
      <c r="D29" s="3">
        <f t="shared" ref="D29:I29" si="37">$C$29/100*D3%+1*(1-D3%)</f>
        <v>1</v>
      </c>
      <c r="E29" s="3">
        <f t="shared" si="37"/>
        <v>1.35</v>
      </c>
      <c r="F29" s="3">
        <f t="shared" si="37"/>
        <v>1.7000000000000002</v>
      </c>
      <c r="G29" s="3">
        <f t="shared" si="37"/>
        <v>2.0499999999999998</v>
      </c>
      <c r="H29" s="3">
        <f t="shared" si="37"/>
        <v>2.4000000000000004</v>
      </c>
      <c r="I29" s="3">
        <f t="shared" si="37"/>
        <v>2.75</v>
      </c>
      <c r="J29" s="3">
        <f>$C$29/100*J3%+1*(1-J3%)</f>
        <v>3.0999999999999996</v>
      </c>
      <c r="K29" s="3">
        <f t="shared" ref="K29:X29" si="38">$C$29/100*K3%+1*(1-K3%)</f>
        <v>3.4499999999999997</v>
      </c>
      <c r="L29" s="3">
        <f t="shared" si="38"/>
        <v>3.8000000000000003</v>
      </c>
      <c r="M29" s="3">
        <f t="shared" si="38"/>
        <v>4.1500000000000004</v>
      </c>
      <c r="N29" s="3">
        <f t="shared" si="38"/>
        <v>4.5</v>
      </c>
      <c r="O29" s="3">
        <f t="shared" si="38"/>
        <v>4.8500000000000005</v>
      </c>
      <c r="P29" s="3">
        <f t="shared" si="38"/>
        <v>5.2</v>
      </c>
      <c r="Q29" s="3">
        <f t="shared" si="38"/>
        <v>5.55</v>
      </c>
      <c r="R29" s="3">
        <f t="shared" si="38"/>
        <v>5.8999999999999995</v>
      </c>
      <c r="S29" s="3">
        <f t="shared" si="38"/>
        <v>6.25</v>
      </c>
      <c r="T29" s="3">
        <f t="shared" si="38"/>
        <v>6.6000000000000005</v>
      </c>
      <c r="U29" s="3">
        <f t="shared" si="38"/>
        <v>6.95</v>
      </c>
      <c r="V29" s="3">
        <f t="shared" si="38"/>
        <v>7.3</v>
      </c>
      <c r="W29" s="3">
        <f t="shared" si="38"/>
        <v>7.6499999999999995</v>
      </c>
      <c r="X29" s="3">
        <f t="shared" si="38"/>
        <v>8</v>
      </c>
    </row>
    <row r="31" spans="2:24" ht="16.5" x14ac:dyDescent="0.3">
      <c r="W31" s="614" t="s">
        <v>231</v>
      </c>
      <c r="X31" s="614"/>
    </row>
  </sheetData>
  <mergeCells count="4">
    <mergeCell ref="B2:C3"/>
    <mergeCell ref="D2:X2"/>
    <mergeCell ref="B4:B29"/>
    <mergeCell ref="W31:X31"/>
  </mergeCells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0A46E4-A624-4A75-8981-D221C78BC4DD}">
  <dimension ref="B2:D86"/>
  <sheetViews>
    <sheetView topLeftCell="A70" zoomScaleNormal="100" workbookViewId="0">
      <selection activeCell="A93" sqref="A93"/>
    </sheetView>
  </sheetViews>
  <sheetFormatPr defaultRowHeight="16.5" x14ac:dyDescent="0.3"/>
  <cols>
    <col min="1" max="1" width="24.42578125" style="334" customWidth="1"/>
    <col min="2" max="2" width="49.7109375" style="338" customWidth="1"/>
    <col min="3" max="3" width="96.85546875" style="338" customWidth="1"/>
    <col min="4" max="4" width="41.5703125" style="338" customWidth="1"/>
    <col min="5" max="5" width="18.28515625" style="334" customWidth="1"/>
    <col min="6" max="16384" width="9.140625" style="334"/>
  </cols>
  <sheetData>
    <row r="2" spans="2:4" x14ac:dyDescent="0.3">
      <c r="B2" s="333" t="s">
        <v>324</v>
      </c>
      <c r="C2" s="333" t="s">
        <v>325</v>
      </c>
      <c r="D2" s="333" t="s">
        <v>448</v>
      </c>
    </row>
    <row r="3" spans="2:4" ht="33" x14ac:dyDescent="0.3">
      <c r="B3" s="335" t="s">
        <v>327</v>
      </c>
      <c r="C3" s="335" t="s">
        <v>326</v>
      </c>
      <c r="D3" s="335"/>
    </row>
    <row r="4" spans="2:4" x14ac:dyDescent="0.3">
      <c r="B4" s="336" t="s">
        <v>329</v>
      </c>
      <c r="C4" s="336" t="s">
        <v>328</v>
      </c>
      <c r="D4" s="336"/>
    </row>
    <row r="5" spans="2:4" ht="33" x14ac:dyDescent="0.3">
      <c r="B5" s="335" t="s">
        <v>330</v>
      </c>
      <c r="C5" s="335" t="s">
        <v>331</v>
      </c>
      <c r="D5" s="335"/>
    </row>
    <row r="6" spans="2:4" x14ac:dyDescent="0.3">
      <c r="B6" s="336" t="s">
        <v>332</v>
      </c>
      <c r="C6" s="336" t="s">
        <v>333</v>
      </c>
      <c r="D6" s="336"/>
    </row>
    <row r="7" spans="2:4" x14ac:dyDescent="0.3">
      <c r="B7" s="335" t="s">
        <v>334</v>
      </c>
      <c r="C7" s="335" t="s">
        <v>335</v>
      </c>
      <c r="D7" s="335"/>
    </row>
    <row r="8" spans="2:4" ht="66" x14ac:dyDescent="0.3">
      <c r="B8" s="336" t="s">
        <v>337</v>
      </c>
      <c r="C8" s="336" t="s">
        <v>336</v>
      </c>
      <c r="D8" s="336"/>
    </row>
    <row r="9" spans="2:4" ht="33" x14ac:dyDescent="0.3">
      <c r="B9" s="335" t="s">
        <v>345</v>
      </c>
      <c r="C9" s="335" t="s">
        <v>338</v>
      </c>
      <c r="D9" s="337" t="s">
        <v>275</v>
      </c>
    </row>
    <row r="10" spans="2:4" x14ac:dyDescent="0.3">
      <c r="B10" s="336" t="s">
        <v>348</v>
      </c>
      <c r="C10" s="336"/>
      <c r="D10" s="336"/>
    </row>
    <row r="11" spans="2:4" x14ac:dyDescent="0.3">
      <c r="B11" s="335" t="s">
        <v>349</v>
      </c>
      <c r="C11" s="335"/>
      <c r="D11" s="335"/>
    </row>
    <row r="12" spans="2:4" x14ac:dyDescent="0.3">
      <c r="B12" s="336" t="s">
        <v>339</v>
      </c>
      <c r="C12" s="336" t="s">
        <v>344</v>
      </c>
      <c r="D12" s="336"/>
    </row>
    <row r="13" spans="2:4" x14ac:dyDescent="0.3">
      <c r="B13" s="335" t="s">
        <v>343</v>
      </c>
      <c r="C13" s="335"/>
      <c r="D13" s="335"/>
    </row>
    <row r="14" spans="2:4" x14ac:dyDescent="0.3">
      <c r="B14" s="336"/>
      <c r="C14" s="336"/>
      <c r="D14" s="336"/>
    </row>
    <row r="15" spans="2:4" x14ac:dyDescent="0.3">
      <c r="B15" s="335" t="s">
        <v>340</v>
      </c>
      <c r="C15" s="335"/>
      <c r="D15" s="335"/>
    </row>
    <row r="16" spans="2:4" x14ac:dyDescent="0.3">
      <c r="B16" s="336" t="s">
        <v>341</v>
      </c>
      <c r="C16" s="336"/>
      <c r="D16" s="336"/>
    </row>
    <row r="17" spans="2:4" x14ac:dyDescent="0.3">
      <c r="B17" s="335" t="s">
        <v>342</v>
      </c>
      <c r="C17" s="335"/>
      <c r="D17" s="335"/>
    </row>
    <row r="18" spans="2:4" x14ac:dyDescent="0.3">
      <c r="B18" s="336"/>
      <c r="C18" s="336"/>
      <c r="D18" s="336"/>
    </row>
    <row r="19" spans="2:4" x14ac:dyDescent="0.3">
      <c r="B19" s="335" t="s">
        <v>191</v>
      </c>
      <c r="C19" s="335" t="s">
        <v>346</v>
      </c>
      <c r="D19" s="335"/>
    </row>
    <row r="20" spans="2:4" x14ac:dyDescent="0.3">
      <c r="B20" s="336"/>
      <c r="C20" s="336"/>
      <c r="D20" s="336"/>
    </row>
    <row r="21" spans="2:4" x14ac:dyDescent="0.3">
      <c r="B21" s="335" t="s">
        <v>347</v>
      </c>
      <c r="C21" s="335"/>
      <c r="D21" s="335"/>
    </row>
    <row r="22" spans="2:4" x14ac:dyDescent="0.3">
      <c r="B22" s="336"/>
      <c r="C22" s="336"/>
      <c r="D22" s="336"/>
    </row>
    <row r="23" spans="2:4" x14ac:dyDescent="0.3">
      <c r="B23" s="335"/>
      <c r="C23" s="335"/>
      <c r="D23" s="335"/>
    </row>
    <row r="24" spans="2:4" x14ac:dyDescent="0.3">
      <c r="B24" s="336"/>
      <c r="C24" s="336"/>
      <c r="D24" s="336"/>
    </row>
    <row r="25" spans="2:4" x14ac:dyDescent="0.3">
      <c r="B25" s="335"/>
      <c r="C25" s="335"/>
      <c r="D25" s="335"/>
    </row>
    <row r="26" spans="2:4" x14ac:dyDescent="0.3">
      <c r="B26" s="335" t="s">
        <v>451</v>
      </c>
      <c r="C26" s="335" t="s">
        <v>452</v>
      </c>
      <c r="D26" s="335" t="s">
        <v>450</v>
      </c>
    </row>
    <row r="27" spans="2:4" x14ac:dyDescent="0.3">
      <c r="B27" s="335" t="s">
        <v>447</v>
      </c>
      <c r="C27" s="335" t="s">
        <v>449</v>
      </c>
      <c r="D27" s="335" t="s">
        <v>450</v>
      </c>
    </row>
    <row r="28" spans="2:4" x14ac:dyDescent="0.3">
      <c r="B28" s="335" t="s">
        <v>453</v>
      </c>
      <c r="C28" s="335" t="s">
        <v>454</v>
      </c>
      <c r="D28" s="335" t="s">
        <v>450</v>
      </c>
    </row>
    <row r="29" spans="2:4" x14ac:dyDescent="0.3">
      <c r="B29" s="335" t="s">
        <v>456</v>
      </c>
      <c r="C29" s="335" t="s">
        <v>455</v>
      </c>
      <c r="D29" s="335" t="s">
        <v>450</v>
      </c>
    </row>
    <row r="30" spans="2:4" x14ac:dyDescent="0.3">
      <c r="B30" s="335" t="s">
        <v>457</v>
      </c>
      <c r="C30" s="335" t="s">
        <v>350</v>
      </c>
      <c r="D30" s="335" t="s">
        <v>450</v>
      </c>
    </row>
    <row r="31" spans="2:4" x14ac:dyDescent="0.3">
      <c r="B31" s="335"/>
      <c r="C31" s="335"/>
      <c r="D31" s="335"/>
    </row>
    <row r="32" spans="2:4" x14ac:dyDescent="0.3">
      <c r="B32" s="335"/>
      <c r="C32" s="335"/>
      <c r="D32" s="335"/>
    </row>
    <row r="33" spans="2:4" x14ac:dyDescent="0.3">
      <c r="B33" s="335"/>
      <c r="C33" s="335"/>
      <c r="D33" s="335"/>
    </row>
    <row r="34" spans="2:4" x14ac:dyDescent="0.3">
      <c r="B34" s="335" t="s">
        <v>477</v>
      </c>
      <c r="C34" s="335" t="s">
        <v>478</v>
      </c>
      <c r="D34" s="335" t="s">
        <v>450</v>
      </c>
    </row>
    <row r="35" spans="2:4" x14ac:dyDescent="0.3">
      <c r="B35" s="335"/>
      <c r="C35" s="335"/>
      <c r="D35" s="335"/>
    </row>
    <row r="36" spans="2:4" x14ac:dyDescent="0.3">
      <c r="B36" s="335"/>
      <c r="C36" s="335"/>
      <c r="D36" s="335"/>
    </row>
    <row r="37" spans="2:4" x14ac:dyDescent="0.3">
      <c r="B37" s="335"/>
      <c r="C37" s="335"/>
      <c r="D37" s="335"/>
    </row>
    <row r="38" spans="2:4" x14ac:dyDescent="0.3">
      <c r="B38" s="335" t="s">
        <v>479</v>
      </c>
      <c r="C38" s="335" t="s">
        <v>493</v>
      </c>
      <c r="D38" s="335" t="s">
        <v>450</v>
      </c>
    </row>
    <row r="39" spans="2:4" x14ac:dyDescent="0.3">
      <c r="B39" s="335" t="s">
        <v>480</v>
      </c>
      <c r="C39" s="335" t="s">
        <v>481</v>
      </c>
      <c r="D39" s="335" t="s">
        <v>450</v>
      </c>
    </row>
    <row r="40" spans="2:4" x14ac:dyDescent="0.3">
      <c r="B40" s="335"/>
      <c r="C40" s="335"/>
      <c r="D40" s="335"/>
    </row>
    <row r="41" spans="2:4" x14ac:dyDescent="0.3">
      <c r="B41" s="335"/>
      <c r="C41" s="335"/>
      <c r="D41" s="335"/>
    </row>
    <row r="42" spans="2:4" x14ac:dyDescent="0.3">
      <c r="B42" s="335" t="s">
        <v>555</v>
      </c>
      <c r="C42" s="335" t="s">
        <v>492</v>
      </c>
      <c r="D42" s="335" t="s">
        <v>450</v>
      </c>
    </row>
    <row r="43" spans="2:4" x14ac:dyDescent="0.3">
      <c r="B43" s="335" t="s">
        <v>503</v>
      </c>
      <c r="C43" s="335" t="s">
        <v>333</v>
      </c>
      <c r="D43" s="335" t="s">
        <v>450</v>
      </c>
    </row>
    <row r="44" spans="2:4" x14ac:dyDescent="0.3">
      <c r="B44" s="335"/>
      <c r="C44" s="335"/>
      <c r="D44" s="335"/>
    </row>
    <row r="45" spans="2:4" x14ac:dyDescent="0.3">
      <c r="B45" s="335" t="s">
        <v>497</v>
      </c>
      <c r="C45" s="335" t="s">
        <v>502</v>
      </c>
      <c r="D45" s="335" t="s">
        <v>450</v>
      </c>
    </row>
    <row r="46" spans="2:4" x14ac:dyDescent="0.3">
      <c r="B46" s="335"/>
      <c r="C46" s="335"/>
      <c r="D46" s="335"/>
    </row>
    <row r="47" spans="2:4" x14ac:dyDescent="0.3">
      <c r="B47" s="335"/>
      <c r="C47" s="335"/>
      <c r="D47" s="335"/>
    </row>
    <row r="48" spans="2:4" ht="33" x14ac:dyDescent="0.3">
      <c r="B48" s="335" t="s">
        <v>504</v>
      </c>
      <c r="C48" s="335" t="s">
        <v>505</v>
      </c>
      <c r="D48" s="335" t="s">
        <v>450</v>
      </c>
    </row>
    <row r="49" spans="2:4" x14ac:dyDescent="0.3">
      <c r="B49" s="335"/>
      <c r="C49" s="335"/>
      <c r="D49" s="335"/>
    </row>
    <row r="50" spans="2:4" x14ac:dyDescent="0.3">
      <c r="B50" s="335"/>
      <c r="C50" s="335"/>
      <c r="D50" s="335"/>
    </row>
    <row r="51" spans="2:4" x14ac:dyDescent="0.3">
      <c r="B51" s="335"/>
      <c r="C51" s="335"/>
      <c r="D51" s="335"/>
    </row>
    <row r="52" spans="2:4" x14ac:dyDescent="0.3">
      <c r="B52" s="335" t="s">
        <v>506</v>
      </c>
      <c r="C52" s="335"/>
      <c r="D52" s="335"/>
    </row>
    <row r="53" spans="2:4" x14ac:dyDescent="0.3">
      <c r="B53" s="335"/>
      <c r="C53" s="335"/>
      <c r="D53" s="335"/>
    </row>
    <row r="54" spans="2:4" x14ac:dyDescent="0.3">
      <c r="B54" s="335" t="s">
        <v>508</v>
      </c>
      <c r="C54" s="260" t="s">
        <v>568</v>
      </c>
      <c r="D54" s="342" t="s">
        <v>450</v>
      </c>
    </row>
    <row r="55" spans="2:4" x14ac:dyDescent="0.3">
      <c r="B55" s="335"/>
      <c r="C55" s="335"/>
      <c r="D55" s="335"/>
    </row>
    <row r="56" spans="2:4" x14ac:dyDescent="0.3">
      <c r="B56" s="260" t="s">
        <v>558</v>
      </c>
      <c r="C56" s="335"/>
      <c r="D56" s="335"/>
    </row>
    <row r="57" spans="2:4" x14ac:dyDescent="0.3">
      <c r="B57" s="335"/>
      <c r="C57" s="335"/>
      <c r="D57" s="335"/>
    </row>
    <row r="58" spans="2:4" x14ac:dyDescent="0.3">
      <c r="B58" s="341" t="s">
        <v>560</v>
      </c>
      <c r="C58" s="335"/>
      <c r="D58" s="335"/>
    </row>
    <row r="59" spans="2:4" x14ac:dyDescent="0.3">
      <c r="B59" s="342"/>
      <c r="C59" s="342"/>
      <c r="D59" s="342"/>
    </row>
    <row r="60" spans="2:4" x14ac:dyDescent="0.3">
      <c r="B60" s="342"/>
      <c r="C60" s="342"/>
      <c r="D60" s="342"/>
    </row>
    <row r="61" spans="2:4" x14ac:dyDescent="0.3">
      <c r="B61" s="342"/>
      <c r="C61" s="342"/>
      <c r="D61" s="342"/>
    </row>
    <row r="62" spans="2:4" x14ac:dyDescent="0.3">
      <c r="B62" s="342" t="s">
        <v>279</v>
      </c>
      <c r="C62" s="342" t="s">
        <v>563</v>
      </c>
      <c r="D62" s="342" t="s">
        <v>450</v>
      </c>
    </row>
    <row r="63" spans="2:4" x14ac:dyDescent="0.3">
      <c r="B63" s="342"/>
      <c r="C63" s="342"/>
      <c r="D63" s="342"/>
    </row>
    <row r="64" spans="2:4" ht="33" x14ac:dyDescent="0.3">
      <c r="B64" s="342" t="s">
        <v>564</v>
      </c>
      <c r="C64" s="374" t="s">
        <v>591</v>
      </c>
      <c r="D64" s="342" t="s">
        <v>450</v>
      </c>
    </row>
    <row r="65" spans="2:4" x14ac:dyDescent="0.3">
      <c r="B65" s="342" t="s">
        <v>565</v>
      </c>
      <c r="C65" s="342" t="s">
        <v>566</v>
      </c>
      <c r="D65" s="342" t="s">
        <v>450</v>
      </c>
    </row>
    <row r="66" spans="2:4" x14ac:dyDescent="0.3">
      <c r="B66" s="372" t="s">
        <v>588</v>
      </c>
      <c r="C66" s="260" t="s">
        <v>589</v>
      </c>
      <c r="D66" s="342"/>
    </row>
    <row r="67" spans="2:4" x14ac:dyDescent="0.3">
      <c r="B67" s="342"/>
      <c r="C67" s="342"/>
      <c r="D67" s="342"/>
    </row>
    <row r="68" spans="2:4" x14ac:dyDescent="0.3">
      <c r="B68" s="342" t="s">
        <v>562</v>
      </c>
      <c r="C68" s="342" t="s">
        <v>567</v>
      </c>
      <c r="D68" s="342" t="s">
        <v>450</v>
      </c>
    </row>
    <row r="70" spans="2:4" x14ac:dyDescent="0.3">
      <c r="B70" s="344" t="s">
        <v>569</v>
      </c>
    </row>
    <row r="71" spans="2:4" x14ac:dyDescent="0.3">
      <c r="B71" s="345" t="s">
        <v>570</v>
      </c>
    </row>
    <row r="72" spans="2:4" x14ac:dyDescent="0.3">
      <c r="B72" s="345" t="s">
        <v>571</v>
      </c>
    </row>
    <row r="74" spans="2:4" x14ac:dyDescent="0.3">
      <c r="B74" s="356" t="s">
        <v>586</v>
      </c>
    </row>
    <row r="76" spans="2:4" x14ac:dyDescent="0.3">
      <c r="B76" s="373" t="s">
        <v>590</v>
      </c>
    </row>
    <row r="82" spans="2:4" x14ac:dyDescent="0.3">
      <c r="B82" s="397" t="s">
        <v>640</v>
      </c>
      <c r="C82" s="345" t="s">
        <v>641</v>
      </c>
      <c r="D82" s="342" t="s">
        <v>450</v>
      </c>
    </row>
    <row r="83" spans="2:4" x14ac:dyDescent="0.3">
      <c r="B83" s="345" t="s">
        <v>643</v>
      </c>
      <c r="C83" s="345" t="s">
        <v>642</v>
      </c>
      <c r="D83" s="342" t="s">
        <v>450</v>
      </c>
    </row>
    <row r="84" spans="2:4" x14ac:dyDescent="0.3">
      <c r="B84" s="345" t="s">
        <v>644</v>
      </c>
      <c r="C84" s="345" t="s">
        <v>645</v>
      </c>
      <c r="D84" s="342" t="s">
        <v>450</v>
      </c>
    </row>
    <row r="86" spans="2:4" x14ac:dyDescent="0.3">
      <c r="B86" s="345" t="s">
        <v>646</v>
      </c>
      <c r="C86" s="345" t="s">
        <v>647</v>
      </c>
      <c r="D86" s="342" t="s">
        <v>450</v>
      </c>
    </row>
  </sheetData>
  <phoneticPr fontId="1" type="noConversion"/>
  <hyperlinks>
    <hyperlink ref="D9" r:id="rId1" xr:uid="{12186FF4-0548-4502-B84B-A78E1AECE584}"/>
  </hyperlinks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3403B4-F2BC-41FC-8086-93E55A33EDBD}">
  <dimension ref="B1:P34"/>
  <sheetViews>
    <sheetView zoomScale="145" zoomScaleNormal="145" workbookViewId="0">
      <selection activeCell="J30" sqref="J30"/>
    </sheetView>
  </sheetViews>
  <sheetFormatPr defaultRowHeight="16.5" x14ac:dyDescent="0.3"/>
  <cols>
    <col min="2" max="2" width="10.42578125" style="128" customWidth="1"/>
    <col min="3" max="3" width="11.85546875" style="128" customWidth="1"/>
    <col min="4" max="8" width="9.140625" style="128"/>
    <col min="9" max="9" width="2.85546875" customWidth="1"/>
    <col min="10" max="10" width="24.28515625" customWidth="1"/>
    <col min="11" max="11" width="23.7109375" customWidth="1"/>
  </cols>
  <sheetData>
    <row r="1" spans="2:16" x14ac:dyDescent="0.3">
      <c r="D1" s="129"/>
      <c r="E1" s="129"/>
      <c r="F1" s="129"/>
      <c r="G1" s="129"/>
      <c r="H1" s="129"/>
    </row>
    <row r="2" spans="2:16" ht="16.5" customHeight="1" x14ac:dyDescent="0.25">
      <c r="B2" s="622" t="s">
        <v>406</v>
      </c>
      <c r="C2" s="130" t="s">
        <v>370</v>
      </c>
      <c r="D2" s="130">
        <v>1</v>
      </c>
      <c r="E2" s="130">
        <v>2</v>
      </c>
      <c r="F2" s="130">
        <v>3</v>
      </c>
      <c r="G2" s="130">
        <v>4</v>
      </c>
      <c r="H2" s="130">
        <v>5</v>
      </c>
      <c r="J2" s="615" t="s">
        <v>409</v>
      </c>
      <c r="K2" s="130" t="s">
        <v>370</v>
      </c>
      <c r="L2" s="130">
        <v>1</v>
      </c>
      <c r="M2" s="130">
        <v>2</v>
      </c>
      <c r="N2" s="130">
        <v>3</v>
      </c>
      <c r="O2" s="130">
        <v>4</v>
      </c>
      <c r="P2" s="130">
        <v>5</v>
      </c>
    </row>
    <row r="3" spans="2:16" ht="17.25" thickBot="1" x14ac:dyDescent="0.3">
      <c r="B3" s="623"/>
      <c r="C3" s="131" t="s">
        <v>0</v>
      </c>
      <c r="D3" s="149">
        <v>1.0921658986175118</v>
      </c>
      <c r="E3" s="132">
        <v>1.0843881856540083</v>
      </c>
      <c r="F3" s="131">
        <v>1.0778210116731515</v>
      </c>
      <c r="G3" s="131"/>
      <c r="H3" s="131"/>
      <c r="J3" s="616"/>
      <c r="K3" s="136" t="s">
        <v>0</v>
      </c>
      <c r="L3" s="149">
        <v>1.0921658986175118</v>
      </c>
      <c r="M3" s="212">
        <v>1.0843881856540083</v>
      </c>
      <c r="N3" s="131">
        <v>1.0778210116731515</v>
      </c>
      <c r="O3" s="131"/>
      <c r="P3" s="131"/>
    </row>
    <row r="4" spans="2:16" ht="17.25" thickBot="1" x14ac:dyDescent="0.3">
      <c r="B4" s="623"/>
      <c r="C4" s="136" t="s">
        <v>9</v>
      </c>
      <c r="D4" s="150">
        <v>1.0926998841251452</v>
      </c>
      <c r="E4" s="137">
        <v>1.0848356309650049</v>
      </c>
      <c r="F4" s="131">
        <v>1.0782013685239495</v>
      </c>
      <c r="G4" s="131"/>
      <c r="H4" s="131"/>
      <c r="J4" s="616"/>
      <c r="K4" s="136" t="s">
        <v>9</v>
      </c>
      <c r="L4" s="150">
        <v>1.0926998841251447</v>
      </c>
      <c r="M4" s="212">
        <v>1.0848356309650053</v>
      </c>
      <c r="N4" s="131">
        <v>1.0782013685239491</v>
      </c>
      <c r="O4" s="131"/>
      <c r="P4" s="131"/>
    </row>
    <row r="5" spans="2:16" x14ac:dyDescent="0.25">
      <c r="B5" s="623"/>
      <c r="C5" s="131" t="s">
        <v>37</v>
      </c>
      <c r="D5" s="135">
        <v>1.0637484062898428</v>
      </c>
      <c r="E5" s="131">
        <v>1.0599280862964442</v>
      </c>
      <c r="F5" s="131">
        <v>1.0565397663022991</v>
      </c>
      <c r="G5" s="131"/>
      <c r="H5" s="131"/>
      <c r="J5" s="616"/>
      <c r="K5" s="136" t="s">
        <v>37</v>
      </c>
      <c r="L5" s="131">
        <v>1.0587544065804937</v>
      </c>
      <c r="M5" s="131">
        <v>1.0554938956714761</v>
      </c>
      <c r="N5" s="131">
        <v>1.0525762355415351</v>
      </c>
      <c r="O5" s="131"/>
      <c r="P5" s="131"/>
    </row>
    <row r="6" spans="2:16" ht="17.25" thickBot="1" x14ac:dyDescent="0.3">
      <c r="B6" s="623"/>
      <c r="C6" s="624" t="s">
        <v>1</v>
      </c>
      <c r="D6" s="134">
        <v>45</v>
      </c>
      <c r="E6" s="134">
        <v>60</v>
      </c>
      <c r="F6" s="134">
        <v>75</v>
      </c>
      <c r="G6" s="134">
        <v>90</v>
      </c>
      <c r="H6" s="131">
        <v>100</v>
      </c>
      <c r="J6" s="616"/>
      <c r="K6" s="618" t="s">
        <v>1</v>
      </c>
      <c r="L6" s="134">
        <v>45</v>
      </c>
      <c r="M6" s="134">
        <v>60</v>
      </c>
      <c r="N6" s="134">
        <v>75</v>
      </c>
      <c r="O6" s="134">
        <v>90</v>
      </c>
      <c r="P6" s="131">
        <v>100</v>
      </c>
    </row>
    <row r="7" spans="2:16" ht="17.25" thickBot="1" x14ac:dyDescent="0.3">
      <c r="B7" s="623"/>
      <c r="C7" s="619"/>
      <c r="D7" s="147">
        <v>1.1039603960396041</v>
      </c>
      <c r="E7" s="148">
        <v>1.0941704035874438</v>
      </c>
      <c r="F7" s="148">
        <v>1.0860655737704921</v>
      </c>
      <c r="G7" s="144">
        <v>1.0792452830188679</v>
      </c>
      <c r="H7" s="145">
        <v>1.048951048951049</v>
      </c>
      <c r="J7" s="616"/>
      <c r="K7" s="619"/>
      <c r="L7" s="147">
        <v>1.1303142329020333</v>
      </c>
      <c r="M7" s="148">
        <v>1.1152902698282912</v>
      </c>
      <c r="N7" s="148">
        <v>1.1033724340175952</v>
      </c>
      <c r="O7" s="144">
        <v>1.0936877076411959</v>
      </c>
      <c r="P7" s="131">
        <v>1.0571081409477523</v>
      </c>
    </row>
    <row r="8" spans="2:16" x14ac:dyDescent="0.25">
      <c r="B8" s="623"/>
      <c r="C8" s="132" t="s">
        <v>373</v>
      </c>
      <c r="D8" s="135">
        <v>1.0594059405940595</v>
      </c>
      <c r="E8" s="135">
        <v>1.0560747663551404</v>
      </c>
      <c r="F8" s="135">
        <v>1.0530973451327432</v>
      </c>
      <c r="G8" s="146"/>
      <c r="H8" s="131"/>
      <c r="J8" s="616"/>
      <c r="K8" s="141" t="s">
        <v>373</v>
      </c>
      <c r="L8" s="131">
        <v>1.0554528650646948</v>
      </c>
      <c r="M8" s="131">
        <v>1.0525394045534151</v>
      </c>
      <c r="N8" s="131">
        <v>1.0499168053244592</v>
      </c>
      <c r="O8" s="195"/>
      <c r="P8" s="131"/>
    </row>
    <row r="9" spans="2:16" x14ac:dyDescent="0.25">
      <c r="B9" s="623"/>
      <c r="C9" s="132" t="s">
        <v>374</v>
      </c>
      <c r="D9" s="132">
        <v>1.0807174887892377</v>
      </c>
      <c r="E9" s="132">
        <v>1.0746887966804979</v>
      </c>
      <c r="F9" s="132">
        <v>1.0694980694980696</v>
      </c>
      <c r="G9" s="132"/>
      <c r="H9" s="132"/>
      <c r="J9" s="616"/>
      <c r="K9" s="141" t="s">
        <v>374</v>
      </c>
      <c r="L9" s="132">
        <v>1.0735895339329518</v>
      </c>
      <c r="M9" s="132">
        <v>1.0685453160700684</v>
      </c>
      <c r="N9" s="132">
        <v>1.0641482537419815</v>
      </c>
      <c r="O9" s="132"/>
      <c r="P9" s="132"/>
    </row>
    <row r="10" spans="2:16" x14ac:dyDescent="0.25">
      <c r="B10" s="623"/>
      <c r="C10" s="132" t="s">
        <v>375</v>
      </c>
      <c r="D10" s="132">
        <v>1.0983606557377048</v>
      </c>
      <c r="E10" s="132">
        <v>1.0895522388059704</v>
      </c>
      <c r="F10" s="132">
        <v>1.0821917808219179</v>
      </c>
      <c r="G10" s="132"/>
      <c r="H10" s="132"/>
      <c r="J10" s="616"/>
      <c r="K10" s="141" t="s">
        <v>375</v>
      </c>
      <c r="L10" s="132">
        <v>1.0879765395894427</v>
      </c>
      <c r="M10" s="132">
        <v>1.0808625336927224</v>
      </c>
      <c r="N10" s="132">
        <v>1.0748129675810472</v>
      </c>
      <c r="O10" s="132"/>
      <c r="P10" s="132"/>
    </row>
    <row r="11" spans="2:16" ht="17.25" thickBot="1" x14ac:dyDescent="0.3">
      <c r="B11" s="623"/>
      <c r="C11" s="132" t="s">
        <v>376</v>
      </c>
      <c r="D11" s="138">
        <v>1.1132075471698113</v>
      </c>
      <c r="E11" s="138">
        <v>1.1016949152542375</v>
      </c>
      <c r="F11" s="138">
        <v>1.0923076923076922</v>
      </c>
      <c r="G11" s="132"/>
      <c r="H11" s="132"/>
      <c r="J11" s="616"/>
      <c r="K11" s="141" t="s">
        <v>376</v>
      </c>
      <c r="L11" s="138">
        <v>1.0996677740863787</v>
      </c>
      <c r="M11" s="138">
        <v>1.0906344410876134</v>
      </c>
      <c r="N11" s="138">
        <v>1.0831024930747921</v>
      </c>
      <c r="O11" s="132"/>
      <c r="P11" s="132"/>
    </row>
    <row r="12" spans="2:16" ht="17.25" thickBot="1" x14ac:dyDescent="0.3">
      <c r="B12" s="623"/>
      <c r="C12" s="141" t="s">
        <v>377</v>
      </c>
      <c r="D12" s="143">
        <v>1.1258741258741261</v>
      </c>
      <c r="E12" s="144">
        <v>1.1118012422360248</v>
      </c>
      <c r="F12" s="142">
        <v>1.1005586592178771</v>
      </c>
      <c r="G12" s="137"/>
      <c r="H12" s="132"/>
      <c r="J12" s="616"/>
      <c r="K12" s="141" t="s">
        <v>377</v>
      </c>
      <c r="L12" s="143">
        <v>1.1093560145808024</v>
      </c>
      <c r="M12" s="144">
        <v>1.0985761226725081</v>
      </c>
      <c r="N12" s="142">
        <v>1.0897308075772683</v>
      </c>
      <c r="O12" s="132"/>
      <c r="P12" s="132"/>
    </row>
    <row r="13" spans="2:16" x14ac:dyDescent="0.25">
      <c r="B13" s="623"/>
      <c r="C13" s="132" t="s">
        <v>378</v>
      </c>
      <c r="D13" s="139">
        <v>1.1333333333333333</v>
      </c>
      <c r="E13" s="139">
        <v>1.1176470588235294</v>
      </c>
      <c r="F13" s="139">
        <v>1.1052631578947369</v>
      </c>
      <c r="G13" s="132"/>
      <c r="H13" s="132"/>
      <c r="J13" s="616"/>
      <c r="K13" s="141" t="s">
        <v>378</v>
      </c>
      <c r="L13" s="132">
        <v>1.114942528735632</v>
      </c>
      <c r="M13" s="132">
        <v>1.1030927835051547</v>
      </c>
      <c r="N13" s="132">
        <v>1.0934579439252337</v>
      </c>
      <c r="O13" s="132"/>
      <c r="P13" s="132"/>
    </row>
    <row r="14" spans="2:16" x14ac:dyDescent="0.25">
      <c r="B14" s="623"/>
      <c r="C14" s="131" t="s">
        <v>371</v>
      </c>
      <c r="D14" s="131">
        <v>1.056338028169014</v>
      </c>
      <c r="E14" s="131">
        <v>1.0597014925373138</v>
      </c>
      <c r="F14" s="131">
        <v>1.0634920634920633</v>
      </c>
      <c r="G14" s="131">
        <v>1.0677966101694916</v>
      </c>
      <c r="H14" s="140"/>
      <c r="J14" s="616"/>
      <c r="K14" s="136" t="s">
        <v>371</v>
      </c>
      <c r="L14" s="131">
        <v>1.0400483341964442</v>
      </c>
      <c r="M14" s="131">
        <v>1.041719115267038</v>
      </c>
      <c r="N14" s="131">
        <v>1.0435353724901484</v>
      </c>
      <c r="O14" s="131">
        <v>1.0455169707671179</v>
      </c>
      <c r="P14" s="131"/>
    </row>
    <row r="15" spans="2:16" x14ac:dyDescent="0.25">
      <c r="B15" s="623"/>
      <c r="C15" s="131" t="s">
        <v>372</v>
      </c>
      <c r="D15" s="131">
        <v>1.0683760683760681</v>
      </c>
      <c r="E15" s="131">
        <v>1.0733944954128443</v>
      </c>
      <c r="F15" s="131">
        <v>1.0792079207920793</v>
      </c>
      <c r="G15" s="131">
        <v>1.086021505376344</v>
      </c>
      <c r="H15" s="135"/>
      <c r="J15" s="617"/>
      <c r="K15" s="136" t="s">
        <v>372</v>
      </c>
      <c r="L15" s="131">
        <v>1.0548398534452195</v>
      </c>
      <c r="M15" s="131">
        <v>1.0580217581593099</v>
      </c>
      <c r="N15" s="131">
        <v>1.0615956458250362</v>
      </c>
      <c r="O15" s="131">
        <v>1.0656387042014432</v>
      </c>
      <c r="P15" s="131"/>
    </row>
    <row r="17" spans="2:16" x14ac:dyDescent="0.3">
      <c r="B17" s="213" t="s">
        <v>410</v>
      </c>
      <c r="C17" s="136">
        <f>D3*D4*D7*E7*F7*D11*E11*F11</f>
        <v>2.0973286661237651</v>
      </c>
      <c r="D17" s="151" t="s">
        <v>382</v>
      </c>
      <c r="E17" s="153">
        <f>D3*D4*D7*E7*F7*G7*D12*E12</f>
        <v>2.1150525703445293</v>
      </c>
      <c r="F17" s="155" t="s">
        <v>383</v>
      </c>
      <c r="G17" s="156">
        <f>D7*E7*F7*G7*D12*E12*F12*D4</f>
        <v>2.1313057145807299</v>
      </c>
      <c r="J17" s="213" t="s">
        <v>410</v>
      </c>
      <c r="K17" s="136">
        <f>L3*L4*L7*M7*N7*L11*M11*N11</f>
        <v>2.1562991422741811</v>
      </c>
      <c r="L17" s="214" t="s">
        <v>382</v>
      </c>
      <c r="M17" s="153">
        <f>L3*L4*L7*M7*N7*O7*L12*M12</f>
        <v>2.2125504242465515</v>
      </c>
      <c r="N17" s="155" t="s">
        <v>383</v>
      </c>
      <c r="O17" s="156">
        <f>L7*M7*N7*O7*L12*M12*N12*L4</f>
        <v>2.2076173259681764</v>
      </c>
    </row>
    <row r="18" spans="2:16" x14ac:dyDescent="0.3">
      <c r="D18" s="152"/>
      <c r="G18" s="154"/>
    </row>
    <row r="19" spans="2:16" x14ac:dyDescent="0.3">
      <c r="O19" s="620" t="s">
        <v>231</v>
      </c>
      <c r="P19" s="483"/>
    </row>
    <row r="25" spans="2:16" x14ac:dyDescent="0.3">
      <c r="B25" s="232"/>
      <c r="C25" s="621" t="s">
        <v>469</v>
      </c>
      <c r="D25" s="621"/>
      <c r="E25" s="621"/>
      <c r="F25" s="118"/>
      <c r="G25" s="118"/>
      <c r="H25" s="118"/>
    </row>
    <row r="26" spans="2:16" ht="15.75" x14ac:dyDescent="0.25">
      <c r="B26" s="232"/>
      <c r="C26" s="232" t="s">
        <v>468</v>
      </c>
      <c r="D26" s="232" t="s">
        <v>470</v>
      </c>
      <c r="E26" s="232" t="s">
        <v>471</v>
      </c>
      <c r="F26" s="621" t="s">
        <v>472</v>
      </c>
      <c r="G26" s="621"/>
      <c r="H26" s="621"/>
    </row>
    <row r="27" spans="2:16" ht="15.75" x14ac:dyDescent="0.25">
      <c r="B27" s="232" t="s">
        <v>465</v>
      </c>
      <c r="C27" s="232">
        <v>941</v>
      </c>
      <c r="D27" s="232">
        <v>1764</v>
      </c>
      <c r="E27" s="232">
        <v>1896</v>
      </c>
      <c r="F27" s="232">
        <f>C27*1.1</f>
        <v>1035.1000000000001</v>
      </c>
      <c r="G27" s="232">
        <f>D27*1.1</f>
        <v>1940.4</v>
      </c>
      <c r="H27" s="232">
        <f>E27*1.1</f>
        <v>2085.6000000000004</v>
      </c>
    </row>
    <row r="28" spans="2:16" x14ac:dyDescent="0.3">
      <c r="B28" s="232" t="s">
        <v>467</v>
      </c>
      <c r="C28" s="232">
        <v>1074</v>
      </c>
      <c r="D28" s="232">
        <v>2087</v>
      </c>
      <c r="E28" s="232">
        <v>2117</v>
      </c>
      <c r="F28" s="233"/>
      <c r="G28" s="233"/>
      <c r="H28" s="233"/>
    </row>
    <row r="29" spans="2:16" x14ac:dyDescent="0.3">
      <c r="B29" s="232" t="s">
        <v>466</v>
      </c>
      <c r="C29" s="232">
        <v>1056</v>
      </c>
      <c r="D29" s="232">
        <v>1930</v>
      </c>
      <c r="E29" s="232">
        <v>2003</v>
      </c>
      <c r="F29" s="233"/>
      <c r="G29" s="233"/>
      <c r="H29" s="233"/>
    </row>
    <row r="30" spans="2:16" x14ac:dyDescent="0.3">
      <c r="B30" s="232"/>
      <c r="C30" s="621" t="s">
        <v>473</v>
      </c>
      <c r="D30" s="621"/>
      <c r="E30" s="621"/>
      <c r="F30" s="118"/>
      <c r="G30" s="118"/>
      <c r="H30" s="118"/>
    </row>
    <row r="31" spans="2:16" ht="15.75" x14ac:dyDescent="0.25">
      <c r="B31" s="232"/>
      <c r="C31" s="232" t="s">
        <v>468</v>
      </c>
      <c r="D31" s="232" t="s">
        <v>470</v>
      </c>
      <c r="E31" s="232" t="s">
        <v>471</v>
      </c>
      <c r="F31" s="621" t="s">
        <v>472</v>
      </c>
      <c r="G31" s="621"/>
      <c r="H31" s="621"/>
    </row>
    <row r="32" spans="2:16" ht="15.75" x14ac:dyDescent="0.25">
      <c r="B32" s="232" t="s">
        <v>465</v>
      </c>
      <c r="C32" s="232">
        <v>3797</v>
      </c>
      <c r="D32" s="232">
        <v>7087</v>
      </c>
      <c r="E32" s="232">
        <v>7619</v>
      </c>
      <c r="F32" s="232">
        <f>C32*1.1</f>
        <v>4176.7000000000007</v>
      </c>
      <c r="G32" s="232">
        <f>D32*1.1</f>
        <v>7795.7000000000007</v>
      </c>
      <c r="H32" s="232">
        <f>E32*1.1</f>
        <v>8380.9000000000015</v>
      </c>
    </row>
    <row r="33" spans="2:8" x14ac:dyDescent="0.3">
      <c r="B33" s="232" t="s">
        <v>467</v>
      </c>
      <c r="C33" s="232">
        <v>3139</v>
      </c>
      <c r="D33" s="232">
        <v>6092</v>
      </c>
      <c r="E33" s="232">
        <v>6189</v>
      </c>
      <c r="F33" s="233"/>
      <c r="G33" s="233"/>
      <c r="H33" s="233"/>
    </row>
    <row r="34" spans="2:8" x14ac:dyDescent="0.3">
      <c r="B34" s="232" t="s">
        <v>466</v>
      </c>
      <c r="C34" s="232">
        <v>4265</v>
      </c>
      <c r="D34" s="232">
        <v>7740</v>
      </c>
      <c r="E34" s="232">
        <v>8039</v>
      </c>
      <c r="F34" s="233"/>
      <c r="G34" s="233"/>
      <c r="H34" s="233"/>
    </row>
  </sheetData>
  <mergeCells count="9">
    <mergeCell ref="F31:H31"/>
    <mergeCell ref="C25:E25"/>
    <mergeCell ref="B2:B15"/>
    <mergeCell ref="C6:C7"/>
    <mergeCell ref="J2:J15"/>
    <mergeCell ref="K6:K7"/>
    <mergeCell ref="O19:P19"/>
    <mergeCell ref="F26:H26"/>
    <mergeCell ref="C30:E30"/>
  </mergeCells>
  <phoneticPr fontId="1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B17037-3237-4E4B-A03F-1269E5CE6A1B}">
  <dimension ref="B3:P70"/>
  <sheetViews>
    <sheetView zoomScale="145" zoomScaleNormal="145" workbookViewId="0">
      <selection activeCell="H13" sqref="H13"/>
    </sheetView>
  </sheetViews>
  <sheetFormatPr defaultRowHeight="16.5" x14ac:dyDescent="0.25"/>
  <cols>
    <col min="2" max="2" width="9.140625" style="272"/>
    <col min="3" max="3" width="18.42578125" style="272" customWidth="1"/>
    <col min="4" max="4" width="9.140625" style="272"/>
    <col min="5" max="5" width="9.140625" style="272" customWidth="1"/>
    <col min="6" max="6" width="15.42578125" style="272" hidden="1" customWidth="1"/>
    <col min="7" max="7" width="15.42578125" style="272" customWidth="1"/>
    <col min="8" max="8" width="17" customWidth="1"/>
    <col min="9" max="9" width="12.140625" customWidth="1"/>
  </cols>
  <sheetData>
    <row r="3" spans="3:9" ht="33" x14ac:dyDescent="0.25">
      <c r="D3" s="272" t="s">
        <v>183</v>
      </c>
      <c r="E3" s="272" t="s">
        <v>426</v>
      </c>
      <c r="F3" s="272" t="s">
        <v>486</v>
      </c>
      <c r="G3" s="272" t="s">
        <v>482</v>
      </c>
      <c r="H3" s="272" t="s">
        <v>487</v>
      </c>
      <c r="I3" s="275" t="s">
        <v>491</v>
      </c>
    </row>
    <row r="4" spans="3:9" x14ac:dyDescent="0.25">
      <c r="C4" s="272" t="s">
        <v>469</v>
      </c>
      <c r="D4" s="272">
        <v>1.2</v>
      </c>
      <c r="E4" s="272">
        <v>1</v>
      </c>
      <c r="F4" s="272">
        <v>5.4</v>
      </c>
      <c r="G4" s="272">
        <f t="shared" ref="G4:G10" si="0">F4/3</f>
        <v>1.8</v>
      </c>
      <c r="H4" s="272">
        <f>D4*E4*G4</f>
        <v>2.16</v>
      </c>
    </row>
    <row r="5" spans="3:9" x14ac:dyDescent="0.25">
      <c r="C5" s="272" t="s">
        <v>488</v>
      </c>
      <c r="D5" s="272">
        <v>4</v>
      </c>
      <c r="E5" s="272">
        <v>1.2</v>
      </c>
      <c r="F5" s="272">
        <v>3</v>
      </c>
      <c r="G5" s="272">
        <f t="shared" si="0"/>
        <v>1</v>
      </c>
      <c r="H5" s="274">
        <f t="shared" ref="H5:H10" si="1">D5*E5*G5</f>
        <v>4.8</v>
      </c>
      <c r="I5" s="483"/>
    </row>
    <row r="6" spans="3:9" x14ac:dyDescent="0.25">
      <c r="C6" s="272" t="s">
        <v>483</v>
      </c>
      <c r="D6" s="272">
        <v>2</v>
      </c>
      <c r="E6" s="272">
        <v>1.175</v>
      </c>
      <c r="F6" s="272">
        <v>5.4</v>
      </c>
      <c r="G6" s="272">
        <f t="shared" si="0"/>
        <v>1.8</v>
      </c>
      <c r="H6" s="272">
        <f t="shared" si="1"/>
        <v>4.2300000000000004</v>
      </c>
      <c r="I6" s="483"/>
    </row>
    <row r="7" spans="3:9" x14ac:dyDescent="0.25">
      <c r="C7" s="272" t="s">
        <v>489</v>
      </c>
      <c r="D7" s="272">
        <v>4.8</v>
      </c>
      <c r="E7" s="272">
        <v>1.2</v>
      </c>
      <c r="F7" s="272">
        <v>2</v>
      </c>
      <c r="G7" s="273">
        <f t="shared" si="0"/>
        <v>0.66666666666666663</v>
      </c>
      <c r="H7" s="272">
        <f t="shared" si="1"/>
        <v>3.84</v>
      </c>
    </row>
    <row r="8" spans="3:9" x14ac:dyDescent="0.25">
      <c r="C8" s="272" t="s">
        <v>485</v>
      </c>
      <c r="D8" s="272">
        <v>2</v>
      </c>
      <c r="E8" s="272">
        <v>1.175</v>
      </c>
      <c r="F8" s="272">
        <v>5.4</v>
      </c>
      <c r="G8" s="272">
        <f t="shared" si="0"/>
        <v>1.8</v>
      </c>
      <c r="H8" s="272">
        <f t="shared" si="1"/>
        <v>4.2300000000000004</v>
      </c>
    </row>
    <row r="9" spans="3:9" x14ac:dyDescent="0.25">
      <c r="C9" s="272" t="s">
        <v>490</v>
      </c>
      <c r="D9" s="272">
        <v>5.6</v>
      </c>
      <c r="E9" s="272">
        <v>1.2</v>
      </c>
      <c r="F9" s="272">
        <v>1.5</v>
      </c>
      <c r="G9" s="272">
        <f t="shared" si="0"/>
        <v>0.5</v>
      </c>
      <c r="H9" s="272">
        <f t="shared" si="1"/>
        <v>3.36</v>
      </c>
    </row>
    <row r="10" spans="3:9" x14ac:dyDescent="0.25">
      <c r="C10" s="272" t="s">
        <v>484</v>
      </c>
      <c r="D10" s="272">
        <v>2</v>
      </c>
      <c r="E10" s="272">
        <v>1.175</v>
      </c>
      <c r="F10" s="272">
        <v>5.4</v>
      </c>
      <c r="G10" s="272">
        <f t="shared" si="0"/>
        <v>1.8</v>
      </c>
      <c r="H10" s="272">
        <f t="shared" si="1"/>
        <v>4.2300000000000004</v>
      </c>
    </row>
    <row r="25" spans="3:10" x14ac:dyDescent="0.25">
      <c r="G25" s="625" t="s">
        <v>496</v>
      </c>
      <c r="H25" s="625"/>
      <c r="I25" s="625" t="s">
        <v>498</v>
      </c>
      <c r="J25" s="625"/>
    </row>
    <row r="26" spans="3:10" x14ac:dyDescent="0.25">
      <c r="D26" s="13" t="s">
        <v>494</v>
      </c>
      <c r="E26" s="13" t="s">
        <v>495</v>
      </c>
      <c r="G26" s="13" t="s">
        <v>494</v>
      </c>
      <c r="H26" s="13" t="s">
        <v>495</v>
      </c>
      <c r="I26" s="13" t="s">
        <v>494</v>
      </c>
      <c r="J26" s="13" t="s">
        <v>495</v>
      </c>
    </row>
    <row r="27" spans="3:10" x14ac:dyDescent="0.25">
      <c r="C27" s="13" t="s">
        <v>6</v>
      </c>
      <c r="D27" s="272">
        <v>1418</v>
      </c>
      <c r="E27" s="272">
        <v>2649</v>
      </c>
      <c r="H27" s="272">
        <v>3243</v>
      </c>
      <c r="I27" s="272"/>
      <c r="J27" s="272">
        <v>3543</v>
      </c>
    </row>
    <row r="28" spans="3:10" x14ac:dyDescent="0.25">
      <c r="C28" s="13"/>
    </row>
    <row r="49" spans="2:13" x14ac:dyDescent="0.3">
      <c r="B49" s="632" t="s">
        <v>599</v>
      </c>
      <c r="C49" s="632"/>
      <c r="D49" s="632" t="s">
        <v>592</v>
      </c>
      <c r="E49" s="632"/>
      <c r="F49" s="375"/>
      <c r="G49" s="375"/>
      <c r="H49" s="376" t="s">
        <v>597</v>
      </c>
      <c r="I49" s="376"/>
      <c r="J49" s="376"/>
      <c r="K49" s="376"/>
      <c r="L49" s="376" t="s">
        <v>598</v>
      </c>
    </row>
    <row r="51" spans="2:13" x14ac:dyDescent="0.25">
      <c r="B51" s="628"/>
      <c r="C51" s="629"/>
      <c r="D51" s="626" t="s">
        <v>593</v>
      </c>
      <c r="E51" s="626"/>
      <c r="F51" s="377"/>
      <c r="G51" s="627">
        <v>0.25</v>
      </c>
      <c r="H51" s="627"/>
      <c r="I51" s="627">
        <v>0.35</v>
      </c>
      <c r="J51" s="627"/>
    </row>
    <row r="52" spans="2:13" x14ac:dyDescent="0.25">
      <c r="B52" s="630"/>
      <c r="C52" s="631"/>
      <c r="D52" s="377" t="s">
        <v>595</v>
      </c>
      <c r="E52" s="377" t="s">
        <v>596</v>
      </c>
      <c r="F52" s="377"/>
      <c r="G52" s="377" t="s">
        <v>595</v>
      </c>
      <c r="H52" s="377" t="s">
        <v>596</v>
      </c>
      <c r="I52" s="377" t="s">
        <v>595</v>
      </c>
      <c r="J52" s="377" t="s">
        <v>596</v>
      </c>
    </row>
    <row r="53" spans="2:13" x14ac:dyDescent="0.25">
      <c r="B53" s="626" t="s">
        <v>369</v>
      </c>
      <c r="C53" s="377" t="s">
        <v>494</v>
      </c>
      <c r="D53" s="377">
        <v>1612</v>
      </c>
      <c r="E53" s="377">
        <v>1612</v>
      </c>
      <c r="F53" s="377"/>
      <c r="G53" s="377">
        <v>1803</v>
      </c>
      <c r="H53" s="377">
        <v>1803</v>
      </c>
      <c r="I53" s="377">
        <v>1877</v>
      </c>
      <c r="J53" s="377">
        <v>1877</v>
      </c>
    </row>
    <row r="54" spans="2:13" x14ac:dyDescent="0.25">
      <c r="B54" s="626"/>
      <c r="C54" s="377" t="s">
        <v>495</v>
      </c>
      <c r="D54" s="377">
        <v>3759</v>
      </c>
      <c r="E54" s="377">
        <v>3759</v>
      </c>
      <c r="F54" s="377"/>
      <c r="G54" s="377">
        <v>4204</v>
      </c>
      <c r="H54" s="377">
        <v>4208</v>
      </c>
      <c r="I54" s="377">
        <v>4386</v>
      </c>
      <c r="J54" s="377">
        <v>4386</v>
      </c>
    </row>
    <row r="55" spans="2:13" x14ac:dyDescent="0.25">
      <c r="B55" s="626" t="s">
        <v>594</v>
      </c>
      <c r="C55" s="377" t="s">
        <v>494</v>
      </c>
      <c r="D55" s="633">
        <v>1612</v>
      </c>
      <c r="E55" s="634"/>
      <c r="F55" s="377"/>
      <c r="G55" s="633">
        <v>1803</v>
      </c>
      <c r="H55" s="634"/>
      <c r="I55" s="633">
        <v>1877</v>
      </c>
      <c r="J55" s="634"/>
    </row>
    <row r="56" spans="2:13" x14ac:dyDescent="0.25">
      <c r="B56" s="626"/>
      <c r="C56" s="377" t="s">
        <v>495</v>
      </c>
      <c r="D56" s="633">
        <v>3759</v>
      </c>
      <c r="E56" s="634"/>
      <c r="F56" s="377"/>
      <c r="G56" s="633">
        <v>4208</v>
      </c>
      <c r="H56" s="634"/>
      <c r="I56" s="633">
        <v>4383</v>
      </c>
      <c r="J56" s="634"/>
    </row>
    <row r="59" spans="2:13" x14ac:dyDescent="0.3">
      <c r="B59" s="632" t="s">
        <v>599</v>
      </c>
      <c r="C59" s="632"/>
      <c r="D59" s="632" t="s">
        <v>592</v>
      </c>
      <c r="E59" s="632"/>
      <c r="F59" s="375"/>
      <c r="G59" s="375"/>
      <c r="H59" s="376" t="s">
        <v>602</v>
      </c>
      <c r="I59" s="376"/>
      <c r="J59" s="376"/>
      <c r="K59" s="376"/>
      <c r="L59" s="376"/>
      <c r="M59" t="s">
        <v>598</v>
      </c>
    </row>
    <row r="61" spans="2:13" x14ac:dyDescent="0.25">
      <c r="B61" s="13" t="s">
        <v>603</v>
      </c>
      <c r="C61" s="13" t="s">
        <v>606</v>
      </c>
      <c r="E61" s="272">
        <v>233.12</v>
      </c>
    </row>
    <row r="62" spans="2:13" x14ac:dyDescent="0.25">
      <c r="B62" s="375" t="s">
        <v>601</v>
      </c>
      <c r="C62" s="13" t="s">
        <v>605</v>
      </c>
      <c r="E62" s="272">
        <v>233.1</v>
      </c>
    </row>
    <row r="63" spans="2:13" x14ac:dyDescent="0.25">
      <c r="B63" s="13" t="s">
        <v>596</v>
      </c>
      <c r="C63" s="13" t="s">
        <v>604</v>
      </c>
      <c r="E63" s="272">
        <v>233</v>
      </c>
    </row>
    <row r="65" spans="2:16" x14ac:dyDescent="0.25">
      <c r="B65" s="626"/>
      <c r="C65" s="626"/>
      <c r="D65" s="626" t="s">
        <v>593</v>
      </c>
      <c r="E65" s="626"/>
      <c r="F65" s="626"/>
      <c r="G65" s="626"/>
      <c r="H65" s="626"/>
      <c r="I65" s="627">
        <v>0.25</v>
      </c>
      <c r="J65" s="627"/>
      <c r="K65" s="627"/>
      <c r="L65" s="627"/>
      <c r="M65" s="627">
        <v>0.35</v>
      </c>
      <c r="N65" s="627"/>
      <c r="O65" s="627"/>
      <c r="P65" s="627"/>
    </row>
    <row r="66" spans="2:16" x14ac:dyDescent="0.25">
      <c r="B66" s="626"/>
      <c r="C66" s="626"/>
      <c r="D66" s="377" t="s">
        <v>595</v>
      </c>
      <c r="E66" s="377" t="s">
        <v>600</v>
      </c>
      <c r="F66" s="377"/>
      <c r="G66" s="377" t="s">
        <v>601</v>
      </c>
      <c r="H66" s="377" t="s">
        <v>596</v>
      </c>
      <c r="I66" s="377" t="s">
        <v>595</v>
      </c>
      <c r="J66" s="377" t="s">
        <v>600</v>
      </c>
      <c r="K66" s="377" t="s">
        <v>601</v>
      </c>
      <c r="L66" s="377" t="s">
        <v>596</v>
      </c>
      <c r="M66" s="377" t="s">
        <v>595</v>
      </c>
      <c r="N66" s="377" t="s">
        <v>600</v>
      </c>
      <c r="O66" s="377" t="s">
        <v>601</v>
      </c>
      <c r="P66" s="377" t="s">
        <v>596</v>
      </c>
    </row>
    <row r="67" spans="2:16" x14ac:dyDescent="0.25">
      <c r="B67" s="626" t="s">
        <v>369</v>
      </c>
      <c r="C67" s="377" t="s">
        <v>494</v>
      </c>
      <c r="D67" s="377"/>
      <c r="E67" s="377"/>
      <c r="F67" s="377"/>
      <c r="G67" s="377"/>
      <c r="H67" s="377"/>
      <c r="I67" s="377"/>
      <c r="J67" s="377">
        <v>1803</v>
      </c>
      <c r="K67" s="377">
        <v>1803</v>
      </c>
      <c r="L67" s="377">
        <v>1803</v>
      </c>
      <c r="M67" s="377"/>
      <c r="N67" s="377">
        <v>1877</v>
      </c>
      <c r="O67" s="377">
        <v>1877</v>
      </c>
      <c r="P67" s="377">
        <v>1877</v>
      </c>
    </row>
    <row r="68" spans="2:16" x14ac:dyDescent="0.25">
      <c r="B68" s="626"/>
      <c r="C68" s="377" t="s">
        <v>495</v>
      </c>
      <c r="D68" s="377"/>
      <c r="E68" s="377"/>
      <c r="F68" s="377"/>
      <c r="G68" s="377"/>
      <c r="H68" s="377"/>
      <c r="I68" s="377"/>
      <c r="J68" s="377">
        <v>4204</v>
      </c>
      <c r="K68" s="377">
        <v>4204</v>
      </c>
      <c r="L68" s="377">
        <v>4204</v>
      </c>
      <c r="M68" s="377"/>
      <c r="N68" s="377">
        <v>4386</v>
      </c>
      <c r="O68" s="377">
        <v>4386</v>
      </c>
      <c r="P68" s="377">
        <v>4383</v>
      </c>
    </row>
    <row r="69" spans="2:16" x14ac:dyDescent="0.25">
      <c r="B69" s="626" t="s">
        <v>594</v>
      </c>
      <c r="C69" s="377" t="s">
        <v>494</v>
      </c>
      <c r="D69" s="626"/>
      <c r="E69" s="626"/>
      <c r="F69" s="626"/>
      <c r="G69" s="626"/>
      <c r="H69" s="626"/>
      <c r="I69" s="633">
        <v>1803</v>
      </c>
      <c r="J69" s="635"/>
      <c r="K69" s="635"/>
      <c r="L69" s="634"/>
      <c r="M69" s="633">
        <v>1877</v>
      </c>
      <c r="N69" s="635"/>
      <c r="O69" s="635"/>
      <c r="P69" s="634"/>
    </row>
    <row r="70" spans="2:16" x14ac:dyDescent="0.25">
      <c r="B70" s="626"/>
      <c r="C70" s="377" t="s">
        <v>495</v>
      </c>
      <c r="D70" s="626"/>
      <c r="E70" s="626"/>
      <c r="F70" s="626"/>
      <c r="G70" s="626"/>
      <c r="H70" s="626"/>
      <c r="I70" s="633">
        <v>4208</v>
      </c>
      <c r="J70" s="635"/>
      <c r="K70" s="635"/>
      <c r="L70" s="634"/>
      <c r="M70" s="633">
        <v>4383</v>
      </c>
      <c r="N70" s="635"/>
      <c r="O70" s="635"/>
      <c r="P70" s="634"/>
    </row>
  </sheetData>
  <mergeCells count="31">
    <mergeCell ref="M69:P69"/>
    <mergeCell ref="M70:P70"/>
    <mergeCell ref="I55:J55"/>
    <mergeCell ref="B59:C59"/>
    <mergeCell ref="D59:E59"/>
    <mergeCell ref="B65:C66"/>
    <mergeCell ref="I65:L65"/>
    <mergeCell ref="M65:P65"/>
    <mergeCell ref="D65:H65"/>
    <mergeCell ref="B67:B68"/>
    <mergeCell ref="B69:B70"/>
    <mergeCell ref="D69:H69"/>
    <mergeCell ref="D70:H70"/>
    <mergeCell ref="I69:L69"/>
    <mergeCell ref="I70:L70"/>
    <mergeCell ref="I5:I6"/>
    <mergeCell ref="I25:J25"/>
    <mergeCell ref="G25:H25"/>
    <mergeCell ref="B53:B54"/>
    <mergeCell ref="B55:B56"/>
    <mergeCell ref="D51:E51"/>
    <mergeCell ref="G51:H51"/>
    <mergeCell ref="I51:J51"/>
    <mergeCell ref="B51:C52"/>
    <mergeCell ref="B49:C49"/>
    <mergeCell ref="D49:E49"/>
    <mergeCell ref="D55:E55"/>
    <mergeCell ref="D56:E56"/>
    <mergeCell ref="G56:H56"/>
    <mergeCell ref="G55:H55"/>
    <mergeCell ref="I56:J56"/>
  </mergeCells>
  <phoneticPr fontId="1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585A70-8ECE-496B-A05F-FC48E4433123}">
  <dimension ref="C2:U30"/>
  <sheetViews>
    <sheetView zoomScale="145" zoomScaleNormal="145" workbookViewId="0">
      <selection activeCell="K10" sqref="K10"/>
    </sheetView>
  </sheetViews>
  <sheetFormatPr defaultRowHeight="16.5" x14ac:dyDescent="0.3"/>
  <cols>
    <col min="4" max="6" width="9.140625" style="387"/>
    <col min="7" max="8" width="9.140625" style="386"/>
    <col min="9" max="9" width="10.28515625" style="386" customWidth="1"/>
  </cols>
  <sheetData>
    <row r="2" spans="3:21" x14ac:dyDescent="0.25">
      <c r="D2" s="636" t="s">
        <v>612</v>
      </c>
      <c r="E2" s="636"/>
      <c r="F2" s="636" t="s">
        <v>189</v>
      </c>
      <c r="G2" s="636"/>
      <c r="H2" s="636"/>
      <c r="I2" s="636"/>
      <c r="J2" s="636" t="s">
        <v>613</v>
      </c>
      <c r="K2" s="636"/>
      <c r="L2" s="636" t="s">
        <v>620</v>
      </c>
      <c r="M2" s="636"/>
      <c r="N2" s="385"/>
      <c r="O2" s="636" t="s">
        <v>614</v>
      </c>
      <c r="P2" s="636"/>
    </row>
    <row r="3" spans="3:21" x14ac:dyDescent="0.25">
      <c r="D3" s="387" t="s">
        <v>473</v>
      </c>
      <c r="E3" s="387" t="s">
        <v>507</v>
      </c>
      <c r="F3" s="387" t="s">
        <v>473</v>
      </c>
      <c r="G3" s="387" t="s">
        <v>507</v>
      </c>
      <c r="H3" s="389" t="s">
        <v>623</v>
      </c>
      <c r="I3" s="389" t="s">
        <v>624</v>
      </c>
      <c r="J3" s="387" t="s">
        <v>473</v>
      </c>
      <c r="K3" s="387" t="s">
        <v>507</v>
      </c>
      <c r="L3" s="387" t="s">
        <v>473</v>
      </c>
      <c r="M3" s="387" t="s">
        <v>507</v>
      </c>
      <c r="N3" s="387"/>
      <c r="O3" s="387" t="s">
        <v>615</v>
      </c>
      <c r="P3" s="387" t="s">
        <v>616</v>
      </c>
    </row>
    <row r="4" spans="3:21" x14ac:dyDescent="0.25">
      <c r="C4" s="92" t="s">
        <v>21</v>
      </c>
      <c r="D4" s="387">
        <v>12</v>
      </c>
      <c r="E4" s="387">
        <v>13</v>
      </c>
      <c r="F4" s="387">
        <v>6</v>
      </c>
      <c r="G4" s="387">
        <v>12</v>
      </c>
      <c r="H4" s="387"/>
      <c r="I4" s="387"/>
      <c r="J4" s="387">
        <v>12</v>
      </c>
      <c r="K4" s="387">
        <v>30</v>
      </c>
      <c r="L4" s="387">
        <v>0.5</v>
      </c>
      <c r="O4" s="387">
        <v>1</v>
      </c>
      <c r="P4" s="387">
        <v>9</v>
      </c>
      <c r="T4" t="s">
        <v>621</v>
      </c>
      <c r="U4">
        <v>19</v>
      </c>
    </row>
    <row r="5" spans="3:21" x14ac:dyDescent="0.25">
      <c r="C5" s="92" t="s">
        <v>22</v>
      </c>
      <c r="D5" s="387">
        <v>10.5</v>
      </c>
      <c r="E5" s="387">
        <v>12</v>
      </c>
      <c r="F5" s="387">
        <v>0</v>
      </c>
      <c r="G5" s="387">
        <v>10</v>
      </c>
      <c r="H5" s="387"/>
      <c r="I5" s="387"/>
      <c r="J5" s="387">
        <v>12</v>
      </c>
      <c r="K5" s="387">
        <v>32</v>
      </c>
      <c r="O5" s="387">
        <v>1</v>
      </c>
      <c r="P5" s="387">
        <v>12</v>
      </c>
      <c r="Q5">
        <v>1900</v>
      </c>
      <c r="R5">
        <v>1506</v>
      </c>
      <c r="S5">
        <v>1742</v>
      </c>
    </row>
    <row r="6" spans="3:21" x14ac:dyDescent="0.3">
      <c r="C6" s="92" t="s">
        <v>28</v>
      </c>
      <c r="D6" s="387">
        <v>35</v>
      </c>
      <c r="E6" s="387">
        <v>35</v>
      </c>
      <c r="F6" s="387">
        <v>10</v>
      </c>
      <c r="G6" s="388">
        <v>12</v>
      </c>
      <c r="H6" s="388"/>
      <c r="I6" s="388"/>
      <c r="J6" s="387">
        <v>14</v>
      </c>
      <c r="K6" s="387">
        <v>32</v>
      </c>
    </row>
    <row r="7" spans="3:21" x14ac:dyDescent="0.3">
      <c r="C7" s="109" t="s">
        <v>323</v>
      </c>
      <c r="D7" s="387">
        <v>10</v>
      </c>
      <c r="E7" s="387">
        <v>14</v>
      </c>
      <c r="F7" s="387">
        <v>0</v>
      </c>
      <c r="G7" s="388">
        <v>13.5</v>
      </c>
      <c r="H7" s="388">
        <v>19</v>
      </c>
      <c r="I7" s="388">
        <v>24</v>
      </c>
      <c r="J7" s="387">
        <v>12</v>
      </c>
      <c r="K7" s="387">
        <v>30</v>
      </c>
    </row>
    <row r="8" spans="3:21" x14ac:dyDescent="0.3">
      <c r="C8" s="92" t="s">
        <v>31</v>
      </c>
    </row>
    <row r="9" spans="3:21" x14ac:dyDescent="0.3">
      <c r="C9" s="92" t="s">
        <v>32</v>
      </c>
    </row>
    <row r="10" spans="3:21" x14ac:dyDescent="0.3">
      <c r="C10" s="88" t="s">
        <v>33</v>
      </c>
    </row>
    <row r="11" spans="3:21" x14ac:dyDescent="0.3">
      <c r="C11" s="88" t="s">
        <v>36</v>
      </c>
      <c r="D11" s="387">
        <v>10</v>
      </c>
      <c r="E11" s="387">
        <v>14</v>
      </c>
      <c r="P11" t="s">
        <v>619</v>
      </c>
    </row>
    <row r="12" spans="3:21" x14ac:dyDescent="0.3">
      <c r="C12" s="94" t="s">
        <v>232</v>
      </c>
      <c r="D12" s="387">
        <v>4</v>
      </c>
      <c r="E12" s="387">
        <v>16</v>
      </c>
    </row>
    <row r="16" spans="3:21" x14ac:dyDescent="0.3">
      <c r="C16" t="s">
        <v>617</v>
      </c>
    </row>
    <row r="17" spans="3:3" x14ac:dyDescent="0.3">
      <c r="C17" t="s">
        <v>618</v>
      </c>
    </row>
    <row r="19" spans="3:3" x14ac:dyDescent="0.3">
      <c r="C19" t="s">
        <v>632</v>
      </c>
    </row>
    <row r="20" spans="3:3" x14ac:dyDescent="0.3">
      <c r="C20" t="s">
        <v>625</v>
      </c>
    </row>
    <row r="21" spans="3:3" x14ac:dyDescent="0.3">
      <c r="C21" t="s">
        <v>626</v>
      </c>
    </row>
    <row r="25" spans="3:3" x14ac:dyDescent="0.3">
      <c r="C25" t="s">
        <v>627</v>
      </c>
    </row>
    <row r="26" spans="3:3" x14ac:dyDescent="0.3">
      <c r="C26" t="s">
        <v>628</v>
      </c>
    </row>
    <row r="27" spans="3:3" x14ac:dyDescent="0.3">
      <c r="C27" t="s">
        <v>629</v>
      </c>
    </row>
    <row r="29" spans="3:3" x14ac:dyDescent="0.3">
      <c r="C29" t="s">
        <v>630</v>
      </c>
    </row>
    <row r="30" spans="3:3" x14ac:dyDescent="0.3">
      <c r="C30" t="s">
        <v>631</v>
      </c>
    </row>
  </sheetData>
  <mergeCells count="5">
    <mergeCell ref="D2:E2"/>
    <mergeCell ref="J2:K2"/>
    <mergeCell ref="O2:P2"/>
    <mergeCell ref="L2:M2"/>
    <mergeCell ref="F2:I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BB726F-070C-4705-A746-225EC4D1D774}">
  <sheetPr codeName="工作表8"/>
  <dimension ref="B2:B15"/>
  <sheetViews>
    <sheetView zoomScale="145" zoomScaleNormal="145" workbookViewId="0">
      <selection activeCell="B15" sqref="B15"/>
    </sheetView>
  </sheetViews>
  <sheetFormatPr defaultRowHeight="15.75" x14ac:dyDescent="0.25"/>
  <cols>
    <col min="2" max="2" width="61.42578125" customWidth="1"/>
  </cols>
  <sheetData>
    <row r="2" spans="2:2" x14ac:dyDescent="0.25">
      <c r="B2" s="8" t="s">
        <v>45</v>
      </c>
    </row>
    <row r="4" spans="2:2" x14ac:dyDescent="0.25">
      <c r="B4" s="8" t="s">
        <v>46</v>
      </c>
    </row>
    <row r="6" spans="2:2" x14ac:dyDescent="0.25">
      <c r="B6" s="8" t="s">
        <v>47</v>
      </c>
    </row>
    <row r="8" spans="2:2" x14ac:dyDescent="0.25">
      <c r="B8" s="8" t="s">
        <v>48</v>
      </c>
    </row>
    <row r="15" spans="2:2" x14ac:dyDescent="0.25">
      <c r="B15" s="8" t="s">
        <v>52</v>
      </c>
    </row>
  </sheetData>
  <phoneticPr fontId="1" type="noConversion"/>
  <hyperlinks>
    <hyperlink ref="B2" r:id="rId1" xr:uid="{8AD08BDC-88F3-477F-8891-73C355D915FA}"/>
    <hyperlink ref="B4" r:id="rId2" xr:uid="{7F7D6716-9D77-456B-8835-798DBA73C754}"/>
    <hyperlink ref="B6" r:id="rId3" xr:uid="{1C701549-D9B3-4DF9-87AC-A0144EACA3FC}"/>
    <hyperlink ref="B8" r:id="rId4" xr:uid="{BA1D2210-82F9-402A-802C-C1B0ACD86815}"/>
    <hyperlink ref="B15" r:id="rId5" xr:uid="{3C2D76E4-5E1F-445D-B3BA-4C7AA3824066}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386256-7188-473C-B0D9-6B13C171181E}">
  <sheetPr codeName="工作表11"/>
  <dimension ref="B3:E26"/>
  <sheetViews>
    <sheetView topLeftCell="A4" zoomScale="115" zoomScaleNormal="115" workbookViewId="0">
      <selection activeCell="G29" sqref="G29"/>
    </sheetView>
  </sheetViews>
  <sheetFormatPr defaultRowHeight="15.75" x14ac:dyDescent="0.25"/>
  <cols>
    <col min="2" max="2" width="24.85546875" style="1" customWidth="1"/>
    <col min="3" max="3" width="9.140625" style="1"/>
    <col min="4" max="4" width="14.140625" style="1" customWidth="1"/>
    <col min="5" max="5" width="37.140625" customWidth="1"/>
    <col min="7" max="7" width="9.7109375" customWidth="1"/>
  </cols>
  <sheetData>
    <row r="3" spans="3:5" ht="16.5" x14ac:dyDescent="0.25">
      <c r="C3" s="637" t="s">
        <v>144</v>
      </c>
      <c r="D3" s="637"/>
      <c r="E3" s="637"/>
    </row>
    <row r="4" spans="3:5" ht="71.25" customHeight="1" x14ac:dyDescent="0.25">
      <c r="C4" s="484"/>
      <c r="D4" s="484"/>
      <c r="E4" s="484"/>
    </row>
    <row r="5" spans="3:5" ht="16.5" x14ac:dyDescent="0.25">
      <c r="C5" s="30" t="s">
        <v>5</v>
      </c>
      <c r="D5" s="30"/>
      <c r="E5" s="30" t="s">
        <v>145</v>
      </c>
    </row>
    <row r="6" spans="3:5" ht="16.5" x14ac:dyDescent="0.25">
      <c r="C6" s="30">
        <v>0</v>
      </c>
      <c r="D6" s="30">
        <f>500/(500+1500*(100-C6)%)</f>
        <v>0.25</v>
      </c>
      <c r="E6" s="30"/>
    </row>
    <row r="7" spans="3:5" ht="16.5" x14ac:dyDescent="0.25">
      <c r="C7" s="30">
        <v>1</v>
      </c>
      <c r="D7" s="30">
        <f>500/(500+1500*(100-C7)%)</f>
        <v>0.25188916876574308</v>
      </c>
      <c r="E7" s="30"/>
    </row>
    <row r="8" spans="3:5" ht="16.5" x14ac:dyDescent="0.25">
      <c r="C8" s="30">
        <v>2</v>
      </c>
      <c r="D8" s="30">
        <f t="shared" ref="D8:D26" si="0">500/(500+1500*(100-C8)%)</f>
        <v>0.25380710659898476</v>
      </c>
      <c r="E8" s="30"/>
    </row>
    <row r="9" spans="3:5" ht="16.5" x14ac:dyDescent="0.25">
      <c r="C9" s="30">
        <v>3</v>
      </c>
      <c r="D9" s="30">
        <f t="shared" si="0"/>
        <v>0.25575447570332482</v>
      </c>
      <c r="E9" s="30"/>
    </row>
    <row r="10" spans="3:5" ht="16.5" x14ac:dyDescent="0.25">
      <c r="C10" s="30">
        <v>4</v>
      </c>
      <c r="D10" s="30">
        <f t="shared" si="0"/>
        <v>0.25773195876288657</v>
      </c>
      <c r="E10" s="30">
        <f>D10/D6</f>
        <v>1.0309278350515463</v>
      </c>
    </row>
    <row r="11" spans="3:5" ht="16.5" x14ac:dyDescent="0.25">
      <c r="C11" s="30">
        <v>5</v>
      </c>
      <c r="D11" s="30">
        <f t="shared" si="0"/>
        <v>0.25974025974025972</v>
      </c>
      <c r="E11" s="30"/>
    </row>
    <row r="12" spans="3:5" ht="16.5" x14ac:dyDescent="0.25">
      <c r="C12" s="30">
        <v>6</v>
      </c>
      <c r="D12" s="30">
        <f t="shared" si="0"/>
        <v>0.26178010471204188</v>
      </c>
      <c r="E12" s="30">
        <f>D12/D6</f>
        <v>1.0471204188481675</v>
      </c>
    </row>
    <row r="13" spans="3:5" ht="16.5" x14ac:dyDescent="0.25">
      <c r="C13" s="30">
        <v>7</v>
      </c>
      <c r="D13" s="30">
        <f t="shared" si="0"/>
        <v>0.26385224274406333</v>
      </c>
      <c r="E13" s="30"/>
    </row>
    <row r="14" spans="3:5" ht="16.5" x14ac:dyDescent="0.25">
      <c r="C14" s="30">
        <v>8</v>
      </c>
      <c r="D14" s="30">
        <f t="shared" si="0"/>
        <v>0.26595744680851063</v>
      </c>
      <c r="E14" s="30">
        <f>D14/D6</f>
        <v>1.0638297872340425</v>
      </c>
    </row>
    <row r="15" spans="3:5" ht="16.5" x14ac:dyDescent="0.25">
      <c r="C15" s="30">
        <v>9</v>
      </c>
      <c r="D15" s="30">
        <f t="shared" si="0"/>
        <v>0.26809651474530832</v>
      </c>
      <c r="E15" s="30"/>
    </row>
    <row r="16" spans="3:5" ht="16.5" x14ac:dyDescent="0.25">
      <c r="C16" s="30">
        <v>10</v>
      </c>
      <c r="D16" s="30">
        <f t="shared" si="0"/>
        <v>0.27027027027027029</v>
      </c>
      <c r="E16" s="30">
        <f>D16/D6</f>
        <v>1.0810810810810811</v>
      </c>
    </row>
    <row r="17" spans="3:5" ht="16.5" x14ac:dyDescent="0.25">
      <c r="C17" s="30">
        <v>11</v>
      </c>
      <c r="D17" s="30">
        <f t="shared" si="0"/>
        <v>0.27247956403269757</v>
      </c>
      <c r="E17" s="30"/>
    </row>
    <row r="18" spans="3:5" ht="16.5" x14ac:dyDescent="0.25">
      <c r="C18" s="30">
        <v>12</v>
      </c>
      <c r="D18" s="30">
        <f t="shared" si="0"/>
        <v>0.27472527472527475</v>
      </c>
      <c r="E18" s="30"/>
    </row>
    <row r="19" spans="3:5" ht="16.5" x14ac:dyDescent="0.25">
      <c r="C19" s="30">
        <v>13</v>
      </c>
      <c r="D19" s="30">
        <f t="shared" si="0"/>
        <v>0.2770083102493075</v>
      </c>
      <c r="E19" s="30"/>
    </row>
    <row r="20" spans="3:5" ht="16.5" x14ac:dyDescent="0.25">
      <c r="C20" s="30">
        <v>14</v>
      </c>
      <c r="D20" s="30">
        <f t="shared" si="0"/>
        <v>0.27932960893854747</v>
      </c>
      <c r="E20" s="30"/>
    </row>
    <row r="21" spans="3:5" ht="16.5" x14ac:dyDescent="0.25">
      <c r="C21" s="30">
        <v>15</v>
      </c>
      <c r="D21" s="30">
        <f t="shared" si="0"/>
        <v>0.28169014084507044</v>
      </c>
      <c r="E21" s="30"/>
    </row>
    <row r="22" spans="3:5" ht="16.5" x14ac:dyDescent="0.25">
      <c r="C22" s="30">
        <v>16</v>
      </c>
      <c r="D22" s="30">
        <f t="shared" si="0"/>
        <v>0.28409090909090912</v>
      </c>
      <c r="E22" s="30">
        <f>D22/D6</f>
        <v>1.1363636363636365</v>
      </c>
    </row>
    <row r="23" spans="3:5" ht="16.5" x14ac:dyDescent="0.25">
      <c r="C23" s="30">
        <v>17</v>
      </c>
      <c r="D23" s="30">
        <f t="shared" si="0"/>
        <v>0.28653295128939826</v>
      </c>
      <c r="E23" s="30"/>
    </row>
    <row r="24" spans="3:5" ht="16.5" x14ac:dyDescent="0.25">
      <c r="C24" s="30">
        <v>18</v>
      </c>
      <c r="D24" s="30">
        <f t="shared" si="0"/>
        <v>0.28901734104046245</v>
      </c>
      <c r="E24" s="30"/>
    </row>
    <row r="25" spans="3:5" ht="16.5" x14ac:dyDescent="0.25">
      <c r="C25" s="30">
        <v>19</v>
      </c>
      <c r="D25" s="30">
        <f t="shared" si="0"/>
        <v>0.29154518950437319</v>
      </c>
      <c r="E25" s="30"/>
    </row>
    <row r="26" spans="3:5" ht="16.5" x14ac:dyDescent="0.25">
      <c r="C26" s="30">
        <v>20</v>
      </c>
      <c r="D26" s="30">
        <f t="shared" si="0"/>
        <v>0.29411764705882354</v>
      </c>
      <c r="E26" s="30">
        <f>D26/D6</f>
        <v>1.1764705882352942</v>
      </c>
    </row>
  </sheetData>
  <mergeCells count="2">
    <mergeCell ref="C3:E3"/>
    <mergeCell ref="C4:E4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6F6198-DF7E-45C5-B13F-CC5D7B1C22AC}">
  <dimension ref="B2:O28"/>
  <sheetViews>
    <sheetView zoomScale="145" zoomScaleNormal="145" workbookViewId="0">
      <selection activeCell="G19" sqref="G19"/>
    </sheetView>
  </sheetViews>
  <sheetFormatPr defaultRowHeight="15.75" x14ac:dyDescent="0.25"/>
  <cols>
    <col min="2" max="2" width="10.28515625" style="1" customWidth="1"/>
    <col min="3" max="3" width="11" customWidth="1"/>
    <col min="5" max="5" width="11" customWidth="1"/>
    <col min="7" max="7" width="11.85546875" bestFit="1" customWidth="1"/>
    <col min="9" max="9" width="14.5703125" bestFit="1" customWidth="1"/>
    <col min="10" max="10" width="15" customWidth="1"/>
    <col min="12" max="12" width="13.42578125" customWidth="1"/>
  </cols>
  <sheetData>
    <row r="2" spans="2:15" x14ac:dyDescent="0.25">
      <c r="C2" t="s">
        <v>190</v>
      </c>
    </row>
    <row r="3" spans="2:15" x14ac:dyDescent="0.25">
      <c r="B3" s="1" t="s">
        <v>668</v>
      </c>
      <c r="C3">
        <v>200</v>
      </c>
      <c r="E3" s="483" t="s">
        <v>669</v>
      </c>
      <c r="F3" s="483"/>
      <c r="G3" s="1" t="s">
        <v>671</v>
      </c>
      <c r="I3" s="1" t="s">
        <v>683</v>
      </c>
      <c r="J3" s="1" t="s">
        <v>681</v>
      </c>
      <c r="K3" s="1">
        <v>185</v>
      </c>
      <c r="L3" s="1">
        <v>185</v>
      </c>
      <c r="M3" s="1">
        <v>305</v>
      </c>
      <c r="N3" s="1"/>
    </row>
    <row r="4" spans="2:15" x14ac:dyDescent="0.25">
      <c r="B4" s="1" t="s">
        <v>666</v>
      </c>
      <c r="C4">
        <v>33</v>
      </c>
      <c r="E4" s="483" t="s">
        <v>670</v>
      </c>
      <c r="F4" s="483"/>
      <c r="G4" s="385" t="s">
        <v>672</v>
      </c>
      <c r="I4" s="484" t="s">
        <v>682</v>
      </c>
      <c r="J4" s="1" t="s">
        <v>350</v>
      </c>
      <c r="K4" s="406">
        <v>0.45</v>
      </c>
      <c r="L4" s="1"/>
      <c r="M4" s="1"/>
      <c r="N4" s="1"/>
    </row>
    <row r="5" spans="2:15" x14ac:dyDescent="0.25">
      <c r="B5" s="1" t="s">
        <v>665</v>
      </c>
      <c r="C5">
        <v>8</v>
      </c>
      <c r="E5" t="s">
        <v>673</v>
      </c>
      <c r="F5" t="s">
        <v>674</v>
      </c>
      <c r="G5" t="s">
        <v>675</v>
      </c>
      <c r="I5" s="484"/>
      <c r="J5" s="1" t="s">
        <v>681</v>
      </c>
      <c r="K5" s="1">
        <v>210</v>
      </c>
      <c r="L5" s="1">
        <v>210</v>
      </c>
      <c r="M5" s="1">
        <v>180</v>
      </c>
      <c r="N5" s="1">
        <v>300</v>
      </c>
    </row>
    <row r="6" spans="2:15" x14ac:dyDescent="0.25">
      <c r="B6" s="1" t="s">
        <v>667</v>
      </c>
      <c r="C6">
        <v>17</v>
      </c>
      <c r="E6" t="s">
        <v>676</v>
      </c>
      <c r="F6" t="s">
        <v>677</v>
      </c>
      <c r="I6" s="484"/>
      <c r="J6" s="1" t="s">
        <v>684</v>
      </c>
      <c r="K6" s="1">
        <v>90</v>
      </c>
      <c r="L6" s="1"/>
      <c r="M6" s="1"/>
      <c r="N6" s="1"/>
    </row>
    <row r="7" spans="2:15" x14ac:dyDescent="0.25">
      <c r="B7" s="1" t="s">
        <v>507</v>
      </c>
      <c r="C7">
        <v>8</v>
      </c>
      <c r="I7" s="484"/>
      <c r="J7" s="1" t="s">
        <v>473</v>
      </c>
      <c r="K7" s="1">
        <v>1325</v>
      </c>
      <c r="L7" s="1"/>
      <c r="M7" s="1"/>
      <c r="N7" s="1"/>
    </row>
    <row r="8" spans="2:15" x14ac:dyDescent="0.25">
      <c r="B8" s="1" t="s">
        <v>664</v>
      </c>
      <c r="C8">
        <v>16</v>
      </c>
      <c r="E8" t="s">
        <v>679</v>
      </c>
      <c r="F8" t="s">
        <v>680</v>
      </c>
      <c r="I8" s="407" t="s">
        <v>685</v>
      </c>
      <c r="J8" s="408"/>
      <c r="K8" s="1" t="s">
        <v>658</v>
      </c>
      <c r="L8" s="1" t="s">
        <v>688</v>
      </c>
      <c r="M8" s="1">
        <v>1.39</v>
      </c>
    </row>
    <row r="9" spans="2:15" x14ac:dyDescent="0.25">
      <c r="B9" s="1" t="s">
        <v>678</v>
      </c>
      <c r="C9">
        <v>128</v>
      </c>
      <c r="K9" s="484" t="s">
        <v>687</v>
      </c>
      <c r="L9" t="s">
        <v>686</v>
      </c>
      <c r="M9" s="1">
        <v>1.45</v>
      </c>
    </row>
    <row r="10" spans="2:15" x14ac:dyDescent="0.25">
      <c r="K10" s="484"/>
      <c r="L10" t="s">
        <v>659</v>
      </c>
      <c r="M10" s="1">
        <v>1.45</v>
      </c>
      <c r="O10">
        <v>4429</v>
      </c>
    </row>
    <row r="11" spans="2:15" x14ac:dyDescent="0.25">
      <c r="D11" s="1" t="s">
        <v>469</v>
      </c>
      <c r="E11" s="1" t="s">
        <v>661</v>
      </c>
      <c r="G11" t="s">
        <v>662</v>
      </c>
      <c r="H11" t="s">
        <v>663</v>
      </c>
    </row>
    <row r="12" spans="2:15" x14ac:dyDescent="0.25">
      <c r="B12" s="161" t="s">
        <v>657</v>
      </c>
      <c r="C12" s="119">
        <v>2240</v>
      </c>
      <c r="D12" s="119">
        <v>12389</v>
      </c>
      <c r="E12" s="119">
        <v>70210</v>
      </c>
    </row>
    <row r="13" spans="2:15" x14ac:dyDescent="0.25">
      <c r="B13" s="161" t="s">
        <v>658</v>
      </c>
      <c r="C13" s="119">
        <v>1241</v>
      </c>
      <c r="D13" s="119">
        <v>10961</v>
      </c>
      <c r="E13" s="119">
        <v>85417</v>
      </c>
    </row>
    <row r="14" spans="2:15" x14ac:dyDescent="0.25">
      <c r="B14" s="161" t="s">
        <v>659</v>
      </c>
      <c r="C14" s="119">
        <v>1340</v>
      </c>
      <c r="D14" s="119">
        <v>8197</v>
      </c>
      <c r="E14" s="119">
        <v>97457</v>
      </c>
    </row>
    <row r="18" spans="2:7" x14ac:dyDescent="0.25">
      <c r="D18" t="s">
        <v>689</v>
      </c>
      <c r="G18" s="407" t="s">
        <v>685</v>
      </c>
    </row>
    <row r="19" spans="2:7" x14ac:dyDescent="0.25">
      <c r="B19" s="161" t="s">
        <v>657</v>
      </c>
      <c r="F19" s="161" t="s">
        <v>657</v>
      </c>
      <c r="G19">
        <f>2*4913*1.45*(SUM(K5:N5)*1.375+90+1325)%</f>
        <v>377920.24249999993</v>
      </c>
    </row>
    <row r="20" spans="2:7" x14ac:dyDescent="0.25">
      <c r="B20" s="161" t="s">
        <v>658</v>
      </c>
      <c r="F20" s="161" t="s">
        <v>658</v>
      </c>
      <c r="G20">
        <f>2*6192*1.39*(SUM(K5:N5)+90+1325)%</f>
        <v>398498.54399999994</v>
      </c>
    </row>
    <row r="21" spans="2:7" x14ac:dyDescent="0.25">
      <c r="B21" s="161" t="s">
        <v>659</v>
      </c>
      <c r="F21" s="161" t="s">
        <v>659</v>
      </c>
      <c r="G21">
        <f>2*4533*1.45*(SUM(K5:N5)+90+1325*1.525)%</f>
        <v>395767.73062499997</v>
      </c>
    </row>
    <row r="26" spans="2:7" x14ac:dyDescent="0.25">
      <c r="B26" s="161" t="s">
        <v>657</v>
      </c>
      <c r="C26" s="119">
        <v>2222</v>
      </c>
      <c r="D26" s="119">
        <v>4913</v>
      </c>
    </row>
    <row r="27" spans="2:7" x14ac:dyDescent="0.25">
      <c r="B27" s="161" t="s">
        <v>658</v>
      </c>
      <c r="C27" s="119">
        <v>1042</v>
      </c>
      <c r="D27" s="119">
        <v>6192</v>
      </c>
    </row>
    <row r="28" spans="2:7" x14ac:dyDescent="0.25">
      <c r="B28" s="161" t="s">
        <v>659</v>
      </c>
      <c r="C28" s="119">
        <v>2321</v>
      </c>
      <c r="D28" s="119">
        <v>4533</v>
      </c>
    </row>
  </sheetData>
  <mergeCells count="4">
    <mergeCell ref="E3:F3"/>
    <mergeCell ref="E4:F4"/>
    <mergeCell ref="I4:I7"/>
    <mergeCell ref="K9:K10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5F6874-90EF-4F07-B00A-D36265C7AA10}">
  <sheetPr codeName="工作表21"/>
  <dimension ref="B1:AS32"/>
  <sheetViews>
    <sheetView zoomScale="70" zoomScaleNormal="70" workbookViewId="0">
      <selection activeCell="AS32" sqref="AS32"/>
    </sheetView>
  </sheetViews>
  <sheetFormatPr defaultRowHeight="16.5" x14ac:dyDescent="0.25"/>
  <cols>
    <col min="1" max="1" width="9.140625" style="84"/>
    <col min="2" max="2" width="13.5703125" style="84" customWidth="1"/>
    <col min="3" max="29" width="6.28515625" style="84" customWidth="1"/>
    <col min="30" max="30" width="2.28515625" style="84" customWidth="1"/>
    <col min="31" max="34" width="13" style="84" customWidth="1"/>
    <col min="35" max="42" width="12.85546875" style="84" customWidth="1"/>
    <col min="43" max="43" width="9.140625" style="84"/>
    <col min="44" max="44" width="5.28515625" style="84" customWidth="1"/>
    <col min="45" max="45" width="7" style="84" customWidth="1"/>
    <col min="46" max="16384" width="9.140625" style="84"/>
  </cols>
  <sheetData>
    <row r="1" spans="2:45" ht="17.25" thickBot="1" x14ac:dyDescent="0.3"/>
    <row r="2" spans="2:45" ht="20.25" customHeight="1" x14ac:dyDescent="0.25">
      <c r="B2" s="488"/>
      <c r="C2" s="489" t="s">
        <v>44</v>
      </c>
      <c r="D2" s="490"/>
      <c r="E2" s="490"/>
      <c r="F2" s="490"/>
      <c r="G2" s="490"/>
      <c r="H2" s="490"/>
      <c r="I2" s="490"/>
      <c r="J2" s="490"/>
      <c r="K2" s="490"/>
      <c r="L2" s="490"/>
      <c r="M2" s="490"/>
      <c r="N2" s="490"/>
      <c r="O2" s="490"/>
      <c r="P2" s="490"/>
      <c r="Q2" s="490"/>
      <c r="R2" s="490"/>
      <c r="S2" s="490"/>
      <c r="T2" s="490"/>
      <c r="U2" s="490"/>
      <c r="V2" s="490"/>
      <c r="W2" s="490"/>
      <c r="X2" s="490"/>
      <c r="Y2" s="490"/>
      <c r="Z2" s="490"/>
      <c r="AA2" s="490"/>
      <c r="AB2" s="490"/>
      <c r="AC2" s="491"/>
      <c r="AD2" s="159"/>
      <c r="AE2" s="485" t="s">
        <v>273</v>
      </c>
      <c r="AF2" s="486"/>
      <c r="AG2" s="486" t="s">
        <v>230</v>
      </c>
      <c r="AH2" s="487"/>
      <c r="AI2" s="485" t="s">
        <v>273</v>
      </c>
      <c r="AJ2" s="486"/>
      <c r="AK2" s="486" t="s">
        <v>230</v>
      </c>
      <c r="AL2" s="487"/>
      <c r="AM2" s="485" t="s">
        <v>273</v>
      </c>
      <c r="AN2" s="486"/>
      <c r="AO2" s="486" t="s">
        <v>230</v>
      </c>
      <c r="AP2" s="487"/>
    </row>
    <row r="3" spans="2:45" x14ac:dyDescent="0.25">
      <c r="B3" s="488"/>
      <c r="C3" s="488" t="s">
        <v>12</v>
      </c>
      <c r="D3" s="488"/>
      <c r="E3" s="488"/>
      <c r="F3" s="488" t="s">
        <v>10</v>
      </c>
      <c r="G3" s="488"/>
      <c r="H3" s="488"/>
      <c r="I3" s="488" t="s">
        <v>1</v>
      </c>
      <c r="J3" s="488"/>
      <c r="K3" s="488"/>
      <c r="L3" s="488" t="s">
        <v>37</v>
      </c>
      <c r="M3" s="488"/>
      <c r="N3" s="488"/>
      <c r="O3" s="488" t="s">
        <v>40</v>
      </c>
      <c r="P3" s="488"/>
      <c r="Q3" s="488"/>
      <c r="R3" s="488" t="s">
        <v>39</v>
      </c>
      <c r="S3" s="488"/>
      <c r="T3" s="488"/>
      <c r="U3" s="488" t="s">
        <v>38</v>
      </c>
      <c r="V3" s="488"/>
      <c r="W3" s="488"/>
      <c r="X3" s="488" t="s">
        <v>120</v>
      </c>
      <c r="Y3" s="488"/>
      <c r="Z3" s="488"/>
      <c r="AA3" s="488" t="s">
        <v>66</v>
      </c>
      <c r="AB3" s="488"/>
      <c r="AC3" s="488"/>
      <c r="AD3" s="159"/>
      <c r="AE3" s="170" t="s">
        <v>7</v>
      </c>
      <c r="AF3" s="85" t="s">
        <v>8</v>
      </c>
      <c r="AG3" s="85" t="s">
        <v>7</v>
      </c>
      <c r="AH3" s="171" t="s">
        <v>8</v>
      </c>
      <c r="AI3" s="170" t="s">
        <v>228</v>
      </c>
      <c r="AJ3" s="85" t="s">
        <v>229</v>
      </c>
      <c r="AK3" s="85" t="s">
        <v>228</v>
      </c>
      <c r="AL3" s="171" t="s">
        <v>229</v>
      </c>
      <c r="AM3" s="170" t="s">
        <v>42</v>
      </c>
      <c r="AN3" s="85" t="s">
        <v>43</v>
      </c>
      <c r="AO3" s="85" t="s">
        <v>42</v>
      </c>
      <c r="AP3" s="171" t="s">
        <v>43</v>
      </c>
    </row>
    <row r="4" spans="2:45" x14ac:dyDescent="0.25">
      <c r="B4" s="86" t="s">
        <v>15</v>
      </c>
      <c r="C4" s="86"/>
      <c r="D4" s="86"/>
      <c r="E4" s="86"/>
      <c r="F4" s="87">
        <v>12.5</v>
      </c>
      <c r="G4" s="86">
        <v>25</v>
      </c>
      <c r="H4" s="86">
        <v>37.5</v>
      </c>
      <c r="I4" s="86"/>
      <c r="J4" s="86"/>
      <c r="K4" s="86"/>
      <c r="L4" s="86"/>
      <c r="M4" s="86"/>
      <c r="N4" s="86"/>
      <c r="O4" s="86"/>
      <c r="P4" s="86"/>
      <c r="Q4" s="86"/>
      <c r="R4" s="86"/>
      <c r="S4" s="86"/>
      <c r="T4" s="86"/>
      <c r="U4" s="86"/>
      <c r="V4" s="86"/>
      <c r="W4" s="86"/>
      <c r="X4" s="86"/>
      <c r="Y4" s="86"/>
      <c r="Z4" s="86"/>
      <c r="AA4" s="86"/>
      <c r="AB4" s="86"/>
      <c r="AC4" s="86"/>
      <c r="AD4" s="162"/>
      <c r="AE4" s="172">
        <v>681</v>
      </c>
      <c r="AF4" s="86">
        <f>AE4</f>
        <v>681</v>
      </c>
      <c r="AG4" s="86">
        <v>735</v>
      </c>
      <c r="AH4" s="173">
        <v>735</v>
      </c>
      <c r="AI4" s="172">
        <v>481</v>
      </c>
      <c r="AJ4" s="172">
        <v>481</v>
      </c>
      <c r="AK4" s="86">
        <v>519</v>
      </c>
      <c r="AL4" s="173">
        <v>519</v>
      </c>
      <c r="AM4" s="172">
        <v>4748</v>
      </c>
      <c r="AN4" s="172">
        <v>4748</v>
      </c>
      <c r="AO4" s="86">
        <v>5127</v>
      </c>
      <c r="AP4" s="173">
        <v>5127</v>
      </c>
      <c r="AR4" s="84" t="s">
        <v>138</v>
      </c>
      <c r="AS4" s="84" t="s">
        <v>161</v>
      </c>
    </row>
    <row r="5" spans="2:45" x14ac:dyDescent="0.25">
      <c r="B5" s="88" t="s">
        <v>16</v>
      </c>
      <c r="C5" s="88">
        <v>10</v>
      </c>
      <c r="D5" s="88">
        <v>20</v>
      </c>
      <c r="E5" s="88">
        <v>30</v>
      </c>
      <c r="F5" s="88"/>
      <c r="G5" s="88"/>
      <c r="H5" s="88"/>
      <c r="I5" s="88"/>
      <c r="J5" s="88"/>
      <c r="K5" s="88"/>
      <c r="L5" s="88"/>
      <c r="M5" s="88"/>
      <c r="N5" s="88"/>
      <c r="O5" s="88"/>
      <c r="P5" s="88"/>
      <c r="Q5" s="88"/>
      <c r="R5" s="88"/>
      <c r="S5" s="88"/>
      <c r="T5" s="88"/>
      <c r="U5" s="88"/>
      <c r="V5" s="88"/>
      <c r="W5" s="88"/>
      <c r="X5" s="88"/>
      <c r="Y5" s="88"/>
      <c r="Z5" s="88"/>
      <c r="AA5" s="88"/>
      <c r="AB5" s="88"/>
      <c r="AC5" s="88"/>
      <c r="AD5" s="163"/>
      <c r="AE5" s="174">
        <v>850</v>
      </c>
      <c r="AF5" s="270">
        <v>654</v>
      </c>
      <c r="AG5" s="88">
        <v>917</v>
      </c>
      <c r="AH5" s="182">
        <v>706</v>
      </c>
      <c r="AI5" s="174">
        <v>498</v>
      </c>
      <c r="AJ5" s="174">
        <v>498</v>
      </c>
      <c r="AK5" s="88">
        <v>537</v>
      </c>
      <c r="AL5" s="175">
        <v>537</v>
      </c>
      <c r="AM5" s="174">
        <v>4782</v>
      </c>
      <c r="AN5" s="174">
        <v>4782</v>
      </c>
      <c r="AO5" s="88">
        <v>5164</v>
      </c>
      <c r="AP5" s="175">
        <v>5164</v>
      </c>
      <c r="AR5" s="84" t="s">
        <v>139</v>
      </c>
      <c r="AS5" s="84" t="s">
        <v>161</v>
      </c>
    </row>
    <row r="6" spans="2:45" x14ac:dyDescent="0.25">
      <c r="B6" s="89" t="s">
        <v>17</v>
      </c>
      <c r="C6" s="89"/>
      <c r="D6" s="89"/>
      <c r="E6" s="89"/>
      <c r="F6" s="89"/>
      <c r="G6" s="89"/>
      <c r="H6" s="89"/>
      <c r="I6" s="89">
        <v>7.5</v>
      </c>
      <c r="J6" s="89">
        <v>15</v>
      </c>
      <c r="K6" s="89">
        <v>22.5</v>
      </c>
      <c r="L6" s="89"/>
      <c r="M6" s="89"/>
      <c r="N6" s="89"/>
      <c r="O6" s="89"/>
      <c r="P6" s="89"/>
      <c r="Q6" s="89"/>
      <c r="R6" s="89"/>
      <c r="S6" s="89"/>
      <c r="T6" s="89"/>
      <c r="U6" s="89"/>
      <c r="V6" s="89"/>
      <c r="W6" s="89"/>
      <c r="X6" s="89"/>
      <c r="Y6" s="89"/>
      <c r="Z6" s="89"/>
      <c r="AA6" s="89"/>
      <c r="AB6" s="89"/>
      <c r="AC6" s="89"/>
      <c r="AD6" s="164"/>
      <c r="AE6" s="176">
        <v>641</v>
      </c>
      <c r="AF6" s="89">
        <v>641</v>
      </c>
      <c r="AG6" s="89">
        <v>692</v>
      </c>
      <c r="AH6" s="177">
        <v>692</v>
      </c>
      <c r="AI6" s="176">
        <v>348</v>
      </c>
      <c r="AJ6" s="176">
        <v>348</v>
      </c>
      <c r="AK6" s="89">
        <v>375</v>
      </c>
      <c r="AL6" s="177">
        <v>375</v>
      </c>
      <c r="AM6" s="176">
        <v>3560</v>
      </c>
      <c r="AN6" s="176">
        <v>3560</v>
      </c>
      <c r="AO6" s="89">
        <v>3844</v>
      </c>
      <c r="AP6" s="177">
        <v>3844</v>
      </c>
      <c r="AR6" s="84" t="s">
        <v>140</v>
      </c>
      <c r="AS6" s="84" t="s">
        <v>159</v>
      </c>
    </row>
    <row r="7" spans="2:45" x14ac:dyDescent="0.25">
      <c r="B7" s="90" t="s">
        <v>18</v>
      </c>
      <c r="C7" s="90"/>
      <c r="D7" s="90"/>
      <c r="E7" s="90"/>
      <c r="F7" s="90"/>
      <c r="G7" s="90"/>
      <c r="H7" s="90"/>
      <c r="I7" s="90"/>
      <c r="J7" s="90"/>
      <c r="K7" s="90"/>
      <c r="L7" s="90"/>
      <c r="M7" s="90"/>
      <c r="N7" s="90"/>
      <c r="O7" s="90"/>
      <c r="P7" s="90"/>
      <c r="Q7" s="90"/>
      <c r="R7" s="90"/>
      <c r="S7" s="90"/>
      <c r="T7" s="90"/>
      <c r="U7" s="90">
        <v>5</v>
      </c>
      <c r="V7" s="90">
        <v>10</v>
      </c>
      <c r="W7" s="90">
        <v>15</v>
      </c>
      <c r="X7" s="90"/>
      <c r="Y7" s="90"/>
      <c r="Z7" s="90"/>
      <c r="AA7" s="90"/>
      <c r="AB7" s="90"/>
      <c r="AC7" s="90"/>
      <c r="AD7" s="165"/>
      <c r="AE7" s="178">
        <v>515</v>
      </c>
      <c r="AF7" s="90">
        <v>515</v>
      </c>
      <c r="AG7" s="90">
        <v>556</v>
      </c>
      <c r="AH7" s="179">
        <v>556</v>
      </c>
      <c r="AI7" s="178">
        <v>365</v>
      </c>
      <c r="AJ7" s="178">
        <v>365</v>
      </c>
      <c r="AK7" s="90">
        <v>394</v>
      </c>
      <c r="AL7" s="179">
        <v>394</v>
      </c>
      <c r="AM7" s="178">
        <v>4250</v>
      </c>
      <c r="AN7" s="178">
        <v>4250</v>
      </c>
      <c r="AO7" s="90">
        <v>4590</v>
      </c>
      <c r="AP7" s="179">
        <v>4590</v>
      </c>
      <c r="AR7" s="84" t="s">
        <v>139</v>
      </c>
      <c r="AS7" s="84" t="s">
        <v>158</v>
      </c>
    </row>
    <row r="8" spans="2:45" x14ac:dyDescent="0.25">
      <c r="B8" s="91" t="s">
        <v>19</v>
      </c>
      <c r="C8" s="91"/>
      <c r="D8" s="91"/>
      <c r="E8" s="91"/>
      <c r="F8" s="91"/>
      <c r="G8" s="91"/>
      <c r="H8" s="91"/>
      <c r="I8" s="91"/>
      <c r="J8" s="91"/>
      <c r="K8" s="91"/>
      <c r="L8" s="91"/>
      <c r="M8" s="91"/>
      <c r="N8" s="91"/>
      <c r="O8" s="91">
        <v>10</v>
      </c>
      <c r="P8" s="91">
        <v>20</v>
      </c>
      <c r="Q8" s="91">
        <v>30</v>
      </c>
      <c r="R8" s="91"/>
      <c r="S8" s="91"/>
      <c r="T8" s="91"/>
      <c r="U8" s="91"/>
      <c r="V8" s="91"/>
      <c r="W8" s="91"/>
      <c r="X8" s="91"/>
      <c r="Y8" s="91"/>
      <c r="Z8" s="91"/>
      <c r="AA8" s="91"/>
      <c r="AB8" s="91"/>
      <c r="AC8" s="91"/>
      <c r="AD8" s="166"/>
      <c r="AE8" s="180">
        <v>448</v>
      </c>
      <c r="AF8" s="91">
        <v>448</v>
      </c>
      <c r="AG8" s="91">
        <v>483</v>
      </c>
      <c r="AH8" s="181">
        <v>483</v>
      </c>
      <c r="AI8" s="180">
        <v>548</v>
      </c>
      <c r="AJ8" s="91">
        <v>548</v>
      </c>
      <c r="AK8" s="91">
        <v>591</v>
      </c>
      <c r="AL8" s="181">
        <v>591</v>
      </c>
      <c r="AM8" s="180">
        <v>8201</v>
      </c>
      <c r="AN8" s="191" t="s">
        <v>405</v>
      </c>
      <c r="AO8" s="91">
        <v>8856</v>
      </c>
      <c r="AP8" s="192" t="s">
        <v>405</v>
      </c>
      <c r="AR8" s="84" t="s">
        <v>141</v>
      </c>
      <c r="AS8" s="84" t="s">
        <v>162</v>
      </c>
    </row>
    <row r="9" spans="2:45" x14ac:dyDescent="0.25">
      <c r="B9" s="88" t="s">
        <v>6</v>
      </c>
      <c r="C9" s="88">
        <v>10</v>
      </c>
      <c r="D9" s="88">
        <v>20</v>
      </c>
      <c r="E9" s="88">
        <v>30</v>
      </c>
      <c r="F9" s="88"/>
      <c r="G9" s="88"/>
      <c r="H9" s="88"/>
      <c r="I9" s="88"/>
      <c r="J9" s="88"/>
      <c r="K9" s="88"/>
      <c r="L9" s="88"/>
      <c r="M9" s="88"/>
      <c r="N9" s="88"/>
      <c r="O9" s="88"/>
      <c r="P9" s="88"/>
      <c r="Q9" s="88"/>
      <c r="R9" s="88"/>
      <c r="S9" s="88"/>
      <c r="T9" s="88"/>
      <c r="U9" s="88"/>
      <c r="V9" s="88"/>
      <c r="W9" s="88"/>
      <c r="X9" s="88"/>
      <c r="Y9" s="88"/>
      <c r="Z9" s="88"/>
      <c r="AA9" s="88"/>
      <c r="AB9" s="88"/>
      <c r="AC9" s="88"/>
      <c r="AD9" s="163"/>
      <c r="AE9" s="174">
        <v>863</v>
      </c>
      <c r="AF9" s="270">
        <v>664</v>
      </c>
      <c r="AG9" s="88">
        <v>932</v>
      </c>
      <c r="AH9" s="182">
        <v>717</v>
      </c>
      <c r="AI9" s="174">
        <v>332</v>
      </c>
      <c r="AJ9" s="174">
        <v>332</v>
      </c>
      <c r="AK9" s="88">
        <v>358</v>
      </c>
      <c r="AL9" s="175">
        <v>358</v>
      </c>
      <c r="AM9" s="174">
        <v>3453</v>
      </c>
      <c r="AN9" s="174">
        <v>3453</v>
      </c>
      <c r="AO9" s="88">
        <v>3729</v>
      </c>
      <c r="AP9" s="175">
        <v>3729</v>
      </c>
      <c r="AR9" s="84" t="s">
        <v>142</v>
      </c>
      <c r="AS9" s="84" t="s">
        <v>159</v>
      </c>
    </row>
    <row r="10" spans="2:45" x14ac:dyDescent="0.25">
      <c r="B10" s="236" t="s">
        <v>20</v>
      </c>
      <c r="C10" s="92"/>
      <c r="D10" s="92"/>
      <c r="E10" s="92"/>
      <c r="F10" s="92"/>
      <c r="G10" s="92"/>
      <c r="H10" s="92"/>
      <c r="I10" s="92"/>
      <c r="J10" s="92"/>
      <c r="K10" s="92"/>
      <c r="L10" s="92">
        <v>7.5</v>
      </c>
      <c r="M10" s="92">
        <v>15</v>
      </c>
      <c r="N10" s="93">
        <v>22.5</v>
      </c>
      <c r="O10" s="92"/>
      <c r="P10" s="92"/>
      <c r="Q10" s="92"/>
      <c r="R10" s="92"/>
      <c r="S10" s="92"/>
      <c r="T10" s="92"/>
      <c r="U10" s="92"/>
      <c r="V10" s="92"/>
      <c r="W10" s="92"/>
      <c r="X10" s="92"/>
      <c r="Y10" s="92"/>
      <c r="Z10" s="92"/>
      <c r="AA10" s="92"/>
      <c r="AB10" s="92"/>
      <c r="AC10" s="92"/>
      <c r="AD10" s="167"/>
      <c r="AE10" s="183">
        <v>631</v>
      </c>
      <c r="AF10" s="92">
        <v>631</v>
      </c>
      <c r="AG10" s="92">
        <v>681</v>
      </c>
      <c r="AH10" s="184">
        <v>681</v>
      </c>
      <c r="AI10" s="183">
        <v>348</v>
      </c>
      <c r="AJ10" s="92">
        <v>348</v>
      </c>
      <c r="AK10" s="92">
        <v>375</v>
      </c>
      <c r="AL10" s="184">
        <v>375</v>
      </c>
      <c r="AM10" s="183">
        <v>3586</v>
      </c>
      <c r="AN10" s="92">
        <v>3586</v>
      </c>
      <c r="AO10" s="92">
        <v>3872</v>
      </c>
      <c r="AP10" s="184">
        <v>3872</v>
      </c>
      <c r="AR10" s="84" t="s">
        <v>143</v>
      </c>
      <c r="AS10" s="84" t="s">
        <v>159</v>
      </c>
    </row>
    <row r="11" spans="2:45" x14ac:dyDescent="0.25">
      <c r="B11" s="92" t="s">
        <v>21</v>
      </c>
      <c r="C11" s="92"/>
      <c r="D11" s="92"/>
      <c r="E11" s="92"/>
      <c r="F11" s="92"/>
      <c r="G11" s="92"/>
      <c r="H11" s="92"/>
      <c r="I11" s="92"/>
      <c r="J11" s="92"/>
      <c r="K11" s="92"/>
      <c r="L11" s="92">
        <v>7.5</v>
      </c>
      <c r="M11" s="92">
        <v>15</v>
      </c>
      <c r="N11" s="93">
        <v>22.5</v>
      </c>
      <c r="O11" s="92"/>
      <c r="P11" s="92"/>
      <c r="Q11" s="92"/>
      <c r="R11" s="92"/>
      <c r="S11" s="92"/>
      <c r="T11" s="92"/>
      <c r="U11" s="92"/>
      <c r="V11" s="92"/>
      <c r="W11" s="92"/>
      <c r="X11" s="92"/>
      <c r="Y11" s="92"/>
      <c r="Z11" s="92"/>
      <c r="AA11" s="92"/>
      <c r="AB11" s="92"/>
      <c r="AC11" s="92"/>
      <c r="AD11" s="167"/>
      <c r="AE11" s="183"/>
      <c r="AF11" s="92"/>
      <c r="AG11" s="92">
        <v>619</v>
      </c>
      <c r="AH11" s="184">
        <v>619</v>
      </c>
      <c r="AI11" s="183"/>
      <c r="AJ11" s="92"/>
      <c r="AK11" s="92">
        <v>375</v>
      </c>
      <c r="AL11" s="184">
        <v>375</v>
      </c>
      <c r="AM11" s="183"/>
      <c r="AN11" s="92"/>
      <c r="AO11" s="92">
        <v>4418</v>
      </c>
      <c r="AP11" s="184">
        <v>4418</v>
      </c>
      <c r="AR11" s="84" t="s">
        <v>140</v>
      </c>
      <c r="AS11" s="84" t="s">
        <v>160</v>
      </c>
    </row>
    <row r="12" spans="2:45" x14ac:dyDescent="0.25">
      <c r="B12" s="92" t="s">
        <v>22</v>
      </c>
      <c r="C12" s="92"/>
      <c r="D12" s="92"/>
      <c r="E12" s="92"/>
      <c r="F12" s="92"/>
      <c r="G12" s="92"/>
      <c r="H12" s="92"/>
      <c r="I12" s="92"/>
      <c r="J12" s="92"/>
      <c r="K12" s="92"/>
      <c r="L12" s="92">
        <v>7.5</v>
      </c>
      <c r="M12" s="92">
        <v>15</v>
      </c>
      <c r="N12" s="93">
        <v>22.5</v>
      </c>
      <c r="O12" s="92"/>
      <c r="P12" s="92"/>
      <c r="Q12" s="92"/>
      <c r="R12" s="92"/>
      <c r="S12" s="92"/>
      <c r="T12" s="92"/>
      <c r="U12" s="92"/>
      <c r="V12" s="92"/>
      <c r="W12" s="92"/>
      <c r="X12" s="92"/>
      <c r="Y12" s="92"/>
      <c r="Z12" s="92"/>
      <c r="AA12" s="92"/>
      <c r="AB12" s="92"/>
      <c r="AC12" s="92"/>
      <c r="AD12" s="167"/>
      <c r="AE12" s="183">
        <v>578</v>
      </c>
      <c r="AF12" s="92">
        <v>578</v>
      </c>
      <c r="AG12" s="92">
        <v>624</v>
      </c>
      <c r="AH12" s="184">
        <v>624</v>
      </c>
      <c r="AI12" s="183">
        <v>349</v>
      </c>
      <c r="AJ12" s="92">
        <v>349</v>
      </c>
      <c r="AK12" s="92">
        <v>376</v>
      </c>
      <c r="AL12" s="184">
        <v>376</v>
      </c>
      <c r="AM12" s="183">
        <v>3905</v>
      </c>
      <c r="AN12" s="92">
        <v>3905</v>
      </c>
      <c r="AO12" s="92">
        <v>4217</v>
      </c>
      <c r="AP12" s="184">
        <v>4217</v>
      </c>
      <c r="AR12" s="84" t="s">
        <v>142</v>
      </c>
      <c r="AS12" s="84" t="s">
        <v>162</v>
      </c>
    </row>
    <row r="13" spans="2:45" x14ac:dyDescent="0.25">
      <c r="B13" s="91" t="s">
        <v>23</v>
      </c>
      <c r="C13" s="91"/>
      <c r="D13" s="91"/>
      <c r="E13" s="91"/>
      <c r="F13" s="91"/>
      <c r="G13" s="91"/>
      <c r="H13" s="91"/>
      <c r="I13" s="91"/>
      <c r="J13" s="91"/>
      <c r="K13" s="91"/>
      <c r="L13" s="91"/>
      <c r="M13" s="91"/>
      <c r="N13" s="91"/>
      <c r="O13" s="91">
        <v>10</v>
      </c>
      <c r="P13" s="91">
        <v>20</v>
      </c>
      <c r="Q13" s="91">
        <v>30</v>
      </c>
      <c r="R13" s="91"/>
      <c r="S13" s="91"/>
      <c r="T13" s="91"/>
      <c r="U13" s="91"/>
      <c r="V13" s="91"/>
      <c r="W13" s="91"/>
      <c r="X13" s="91"/>
      <c r="Y13" s="91"/>
      <c r="Z13" s="91"/>
      <c r="AA13" s="91"/>
      <c r="AB13" s="91"/>
      <c r="AC13" s="91"/>
      <c r="AD13" s="166"/>
      <c r="AE13" s="180">
        <v>481</v>
      </c>
      <c r="AF13" s="91">
        <v>481</v>
      </c>
      <c r="AG13" s="91">
        <v>519</v>
      </c>
      <c r="AH13" s="181">
        <v>519</v>
      </c>
      <c r="AI13" s="180">
        <v>381</v>
      </c>
      <c r="AJ13" s="180">
        <v>381</v>
      </c>
      <c r="AK13" s="91">
        <v>411</v>
      </c>
      <c r="AL13" s="181">
        <v>411</v>
      </c>
      <c r="AM13" s="180">
        <v>4985</v>
      </c>
      <c r="AN13" s="191" t="s">
        <v>405</v>
      </c>
      <c r="AO13" s="91">
        <v>5383</v>
      </c>
      <c r="AP13" s="192" t="s">
        <v>405</v>
      </c>
      <c r="AR13" s="84" t="s">
        <v>142</v>
      </c>
      <c r="AS13" s="84" t="s">
        <v>158</v>
      </c>
    </row>
    <row r="14" spans="2:45" x14ac:dyDescent="0.25">
      <c r="B14" s="94" t="s">
        <v>24</v>
      </c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  <c r="N14" s="94"/>
      <c r="O14" s="94"/>
      <c r="P14" s="94"/>
      <c r="Q14" s="94"/>
      <c r="R14" s="94">
        <v>5</v>
      </c>
      <c r="S14" s="94">
        <v>10</v>
      </c>
      <c r="T14" s="94">
        <v>15</v>
      </c>
      <c r="U14" s="94"/>
      <c r="V14" s="94"/>
      <c r="W14" s="94"/>
      <c r="X14" s="94"/>
      <c r="Y14" s="94"/>
      <c r="Z14" s="94"/>
      <c r="AA14" s="94"/>
      <c r="AB14" s="94"/>
      <c r="AC14" s="94"/>
      <c r="AD14" s="168"/>
      <c r="AE14" s="185"/>
      <c r="AF14" s="94"/>
      <c r="AG14" s="94"/>
      <c r="AH14" s="186"/>
      <c r="AI14" s="185"/>
      <c r="AJ14" s="94"/>
      <c r="AK14" s="94"/>
      <c r="AL14" s="186"/>
      <c r="AM14" s="185"/>
      <c r="AN14" s="94"/>
      <c r="AO14" s="94"/>
      <c r="AP14" s="186"/>
      <c r="AR14" s="84" t="s">
        <v>138</v>
      </c>
      <c r="AS14" s="84" t="s">
        <v>158</v>
      </c>
    </row>
    <row r="15" spans="2:45" x14ac:dyDescent="0.25">
      <c r="B15" s="88" t="s">
        <v>25</v>
      </c>
      <c r="C15" s="88">
        <v>10</v>
      </c>
      <c r="D15" s="88">
        <v>20</v>
      </c>
      <c r="E15" s="88">
        <v>30</v>
      </c>
      <c r="F15" s="88"/>
      <c r="G15" s="88"/>
      <c r="H15" s="88"/>
      <c r="I15" s="88"/>
      <c r="J15" s="88"/>
      <c r="K15" s="88"/>
      <c r="L15" s="88"/>
      <c r="M15" s="88"/>
      <c r="N15" s="88"/>
      <c r="O15" s="88"/>
      <c r="P15" s="88"/>
      <c r="Q15" s="88"/>
      <c r="R15" s="88"/>
      <c r="S15" s="88"/>
      <c r="T15" s="88"/>
      <c r="U15" s="88"/>
      <c r="V15" s="88"/>
      <c r="W15" s="88"/>
      <c r="X15" s="88"/>
      <c r="Y15" s="88"/>
      <c r="Z15" s="88"/>
      <c r="AA15" s="88"/>
      <c r="AB15" s="88"/>
      <c r="AC15" s="88"/>
      <c r="AD15" s="163"/>
      <c r="AE15" s="174">
        <v>872</v>
      </c>
      <c r="AF15" s="270">
        <v>670</v>
      </c>
      <c r="AG15" s="88">
        <v>941</v>
      </c>
      <c r="AH15" s="258">
        <v>723</v>
      </c>
      <c r="AI15" s="174">
        <v>314</v>
      </c>
      <c r="AJ15" s="174">
        <v>314</v>
      </c>
      <c r="AK15" s="88">
        <v>339</v>
      </c>
      <c r="AL15" s="175">
        <v>339</v>
      </c>
      <c r="AM15" s="174">
        <v>3533</v>
      </c>
      <c r="AN15" s="174">
        <v>3533</v>
      </c>
      <c r="AO15" s="88">
        <v>3815</v>
      </c>
      <c r="AP15" s="175">
        <v>3815</v>
      </c>
      <c r="AR15" s="84" t="s">
        <v>138</v>
      </c>
      <c r="AS15" s="84" t="s">
        <v>160</v>
      </c>
    </row>
    <row r="16" spans="2:45" x14ac:dyDescent="0.25">
      <c r="B16" s="89" t="s">
        <v>26</v>
      </c>
      <c r="C16" s="89"/>
      <c r="D16" s="89"/>
      <c r="E16" s="89"/>
      <c r="F16" s="89"/>
      <c r="G16" s="89"/>
      <c r="H16" s="89"/>
      <c r="I16" s="89">
        <v>7.5</v>
      </c>
      <c r="J16" s="89">
        <v>15</v>
      </c>
      <c r="K16" s="89">
        <v>22.5</v>
      </c>
      <c r="L16" s="89"/>
      <c r="M16" s="89"/>
      <c r="N16" s="89"/>
      <c r="O16" s="89"/>
      <c r="P16" s="89"/>
      <c r="Q16" s="89"/>
      <c r="R16" s="89"/>
      <c r="S16" s="89"/>
      <c r="T16" s="89"/>
      <c r="U16" s="89"/>
      <c r="V16" s="89"/>
      <c r="W16" s="89"/>
      <c r="X16" s="89"/>
      <c r="Y16" s="89"/>
      <c r="Z16" s="89"/>
      <c r="AA16" s="89"/>
      <c r="AB16" s="89"/>
      <c r="AC16" s="89"/>
      <c r="AD16" s="164"/>
      <c r="AE16" s="176"/>
      <c r="AF16" s="89"/>
      <c r="AG16" s="89">
        <v>699</v>
      </c>
      <c r="AH16" s="177">
        <v>699</v>
      </c>
      <c r="AI16" s="176"/>
      <c r="AJ16" s="89"/>
      <c r="AK16" s="89">
        <v>538</v>
      </c>
      <c r="AL16" s="177">
        <v>538</v>
      </c>
      <c r="AM16" s="176"/>
      <c r="AN16" s="89"/>
      <c r="AO16" s="89">
        <v>5200</v>
      </c>
      <c r="AP16" s="177">
        <v>5200</v>
      </c>
      <c r="AR16" s="84" t="s">
        <v>141</v>
      </c>
      <c r="AS16" s="84" t="s">
        <v>161</v>
      </c>
    </row>
    <row r="17" spans="2:45" x14ac:dyDescent="0.25">
      <c r="B17" s="88" t="s">
        <v>27</v>
      </c>
      <c r="C17" s="88">
        <v>10</v>
      </c>
      <c r="D17" s="88">
        <v>20</v>
      </c>
      <c r="E17" s="88">
        <v>30</v>
      </c>
      <c r="F17" s="88"/>
      <c r="G17" s="88"/>
      <c r="H17" s="88"/>
      <c r="I17" s="88"/>
      <c r="J17" s="88"/>
      <c r="K17" s="88"/>
      <c r="L17" s="88"/>
      <c r="M17" s="88"/>
      <c r="N17" s="88"/>
      <c r="O17" s="88"/>
      <c r="P17" s="88"/>
      <c r="Q17" s="88"/>
      <c r="R17" s="88"/>
      <c r="S17" s="88"/>
      <c r="T17" s="88"/>
      <c r="U17" s="88"/>
      <c r="V17" s="88"/>
      <c r="W17" s="88"/>
      <c r="X17" s="88"/>
      <c r="Y17" s="88"/>
      <c r="Z17" s="88"/>
      <c r="AA17" s="88"/>
      <c r="AB17" s="88"/>
      <c r="AC17" s="88"/>
      <c r="AD17" s="163"/>
      <c r="AE17" s="174"/>
      <c r="AF17" s="190"/>
      <c r="AG17" s="88">
        <v>756</v>
      </c>
      <c r="AH17" s="189"/>
      <c r="AI17" s="174"/>
      <c r="AJ17" s="88"/>
      <c r="AK17" s="88">
        <v>453</v>
      </c>
      <c r="AL17" s="175">
        <v>453</v>
      </c>
      <c r="AM17" s="174"/>
      <c r="AN17" s="88"/>
      <c r="AO17" s="88">
        <v>4707</v>
      </c>
      <c r="AP17" s="175">
        <v>4707</v>
      </c>
      <c r="AR17" s="84" t="s">
        <v>138</v>
      </c>
      <c r="AS17" s="84" t="s">
        <v>161</v>
      </c>
    </row>
    <row r="18" spans="2:45" x14ac:dyDescent="0.25">
      <c r="B18" s="92" t="s">
        <v>28</v>
      </c>
      <c r="C18" s="92"/>
      <c r="D18" s="92"/>
      <c r="E18" s="92"/>
      <c r="F18" s="92"/>
      <c r="G18" s="92"/>
      <c r="H18" s="92"/>
      <c r="I18" s="92"/>
      <c r="J18" s="92"/>
      <c r="K18" s="92"/>
      <c r="L18" s="92">
        <v>7.5</v>
      </c>
      <c r="M18" s="92">
        <v>15</v>
      </c>
      <c r="N18" s="93">
        <v>22.5</v>
      </c>
      <c r="O18" s="92"/>
      <c r="P18" s="92"/>
      <c r="Q18" s="92"/>
      <c r="R18" s="92"/>
      <c r="S18" s="92"/>
      <c r="T18" s="92"/>
      <c r="U18" s="92"/>
      <c r="V18" s="92"/>
      <c r="W18" s="92"/>
      <c r="X18" s="92"/>
      <c r="Y18" s="92"/>
      <c r="Z18" s="92"/>
      <c r="AA18" s="92"/>
      <c r="AB18" s="92"/>
      <c r="AC18" s="92"/>
      <c r="AD18" s="167"/>
      <c r="AE18" s="183"/>
      <c r="AF18" s="92"/>
      <c r="AG18" s="92">
        <v>547</v>
      </c>
      <c r="AH18" s="184">
        <v>547</v>
      </c>
      <c r="AI18" s="183"/>
      <c r="AJ18" s="92"/>
      <c r="AK18" s="92">
        <v>330</v>
      </c>
      <c r="AL18" s="184">
        <v>330</v>
      </c>
      <c r="AM18" s="183"/>
      <c r="AN18" s="92"/>
      <c r="AO18" s="92">
        <v>3430</v>
      </c>
      <c r="AP18" s="184">
        <v>3430</v>
      </c>
      <c r="AR18" s="84" t="s">
        <v>143</v>
      </c>
      <c r="AS18" s="84" t="s">
        <v>159</v>
      </c>
    </row>
    <row r="19" spans="2:45" x14ac:dyDescent="0.25">
      <c r="B19" s="91" t="s">
        <v>29</v>
      </c>
      <c r="C19" s="91"/>
      <c r="D19" s="91"/>
      <c r="E19" s="91"/>
      <c r="F19" s="91"/>
      <c r="G19" s="91"/>
      <c r="H19" s="91"/>
      <c r="I19" s="91"/>
      <c r="J19" s="91"/>
      <c r="K19" s="91"/>
      <c r="L19" s="91"/>
      <c r="M19" s="91"/>
      <c r="N19" s="91"/>
      <c r="O19" s="91">
        <v>10</v>
      </c>
      <c r="P19" s="91">
        <v>20</v>
      </c>
      <c r="Q19" s="91">
        <v>30</v>
      </c>
      <c r="R19" s="91"/>
      <c r="S19" s="91"/>
      <c r="T19" s="91"/>
      <c r="U19" s="91"/>
      <c r="V19" s="91"/>
      <c r="W19" s="91"/>
      <c r="X19" s="91"/>
      <c r="Y19" s="91"/>
      <c r="Z19" s="91"/>
      <c r="AA19" s="91"/>
      <c r="AB19" s="91"/>
      <c r="AC19" s="91"/>
      <c r="AD19" s="166"/>
      <c r="AE19" s="180"/>
      <c r="AF19" s="91"/>
      <c r="AG19" s="91">
        <v>417</v>
      </c>
      <c r="AH19" s="181">
        <v>417</v>
      </c>
      <c r="AI19" s="180"/>
      <c r="AJ19" s="91"/>
      <c r="AK19" s="91">
        <v>505</v>
      </c>
      <c r="AL19" s="181">
        <v>505</v>
      </c>
      <c r="AM19" s="180"/>
      <c r="AN19" s="193" t="s">
        <v>405</v>
      </c>
      <c r="AO19" s="91">
        <v>7568</v>
      </c>
      <c r="AP19" s="194" t="s">
        <v>405</v>
      </c>
      <c r="AR19" s="84" t="s">
        <v>140</v>
      </c>
      <c r="AS19" s="84" t="s">
        <v>161</v>
      </c>
    </row>
    <row r="20" spans="2:45" x14ac:dyDescent="0.25">
      <c r="B20" s="109" t="s">
        <v>323</v>
      </c>
      <c r="C20" s="88">
        <v>10</v>
      </c>
      <c r="D20" s="88">
        <v>20</v>
      </c>
      <c r="E20" s="88">
        <v>30</v>
      </c>
      <c r="F20" s="88"/>
      <c r="G20" s="88"/>
      <c r="H20" s="88"/>
      <c r="I20" s="88"/>
      <c r="J20" s="88"/>
      <c r="K20" s="88"/>
      <c r="L20" s="88"/>
      <c r="M20" s="88"/>
      <c r="N20" s="88"/>
      <c r="O20" s="88"/>
      <c r="P20" s="88"/>
      <c r="Q20" s="88"/>
      <c r="R20" s="88"/>
      <c r="S20" s="88"/>
      <c r="T20" s="88"/>
      <c r="U20" s="88"/>
      <c r="V20" s="88"/>
      <c r="W20" s="88"/>
      <c r="X20" s="88"/>
      <c r="Y20" s="88"/>
      <c r="Z20" s="88"/>
      <c r="AA20" s="88"/>
      <c r="AB20" s="88"/>
      <c r="AC20" s="88"/>
      <c r="AD20" s="163"/>
      <c r="AE20" s="174"/>
      <c r="AF20" s="193" t="s">
        <v>405</v>
      </c>
      <c r="AG20" s="88">
        <v>689</v>
      </c>
      <c r="AH20" s="194" t="s">
        <v>405</v>
      </c>
      <c r="AI20" s="174"/>
      <c r="AJ20" s="88"/>
      <c r="AK20" s="88">
        <v>330</v>
      </c>
      <c r="AL20" s="175">
        <v>330</v>
      </c>
      <c r="AM20" s="174"/>
      <c r="AN20" s="88"/>
      <c r="AO20" s="88">
        <v>3514</v>
      </c>
      <c r="AP20" s="175">
        <v>3514</v>
      </c>
      <c r="AR20" s="84" t="s">
        <v>138</v>
      </c>
      <c r="AS20" s="84" t="s">
        <v>160</v>
      </c>
    </row>
    <row r="21" spans="2:45" x14ac:dyDescent="0.25">
      <c r="B21" s="92" t="s">
        <v>31</v>
      </c>
      <c r="C21" s="92"/>
      <c r="D21" s="92"/>
      <c r="E21" s="92"/>
      <c r="F21" s="92"/>
      <c r="G21" s="92"/>
      <c r="H21" s="92"/>
      <c r="I21" s="92"/>
      <c r="J21" s="92"/>
      <c r="K21" s="92"/>
      <c r="L21" s="92">
        <v>7.5</v>
      </c>
      <c r="M21" s="92">
        <v>15</v>
      </c>
      <c r="N21" s="93">
        <v>22.5</v>
      </c>
      <c r="O21" s="92"/>
      <c r="P21" s="92"/>
      <c r="Q21" s="92"/>
      <c r="R21" s="92"/>
      <c r="S21" s="92"/>
      <c r="T21" s="92"/>
      <c r="U21" s="92"/>
      <c r="V21" s="92"/>
      <c r="W21" s="92"/>
      <c r="X21" s="92"/>
      <c r="Y21" s="92"/>
      <c r="Z21" s="92"/>
      <c r="AA21" s="92"/>
      <c r="AB21" s="92"/>
      <c r="AC21" s="92"/>
      <c r="AD21" s="167"/>
      <c r="AE21" s="183"/>
      <c r="AF21" s="92"/>
      <c r="AG21" s="92">
        <v>522</v>
      </c>
      <c r="AH21" s="184">
        <v>522</v>
      </c>
      <c r="AI21" s="183"/>
      <c r="AJ21" s="92"/>
      <c r="AK21" s="92">
        <v>330</v>
      </c>
      <c r="AL21" s="184">
        <v>330</v>
      </c>
      <c r="AM21" s="183"/>
      <c r="AN21" s="92"/>
      <c r="AO21" s="92">
        <v>3625</v>
      </c>
      <c r="AP21" s="184">
        <v>3625</v>
      </c>
      <c r="AR21" s="84" t="s">
        <v>139</v>
      </c>
      <c r="AS21" s="84" t="s">
        <v>159</v>
      </c>
    </row>
    <row r="22" spans="2:45" x14ac:dyDescent="0.25">
      <c r="B22" s="92" t="s">
        <v>32</v>
      </c>
      <c r="C22" s="92"/>
      <c r="D22" s="92"/>
      <c r="E22" s="92"/>
      <c r="F22" s="92"/>
      <c r="G22" s="92"/>
      <c r="H22" s="92"/>
      <c r="I22" s="92"/>
      <c r="J22" s="92"/>
      <c r="K22" s="92"/>
      <c r="L22" s="92">
        <v>7.5</v>
      </c>
      <c r="M22" s="92">
        <v>15</v>
      </c>
      <c r="N22" s="93">
        <v>22.5</v>
      </c>
      <c r="O22" s="92"/>
      <c r="P22" s="92"/>
      <c r="Q22" s="92"/>
      <c r="R22" s="92"/>
      <c r="S22" s="92"/>
      <c r="T22" s="92"/>
      <c r="U22" s="92"/>
      <c r="V22" s="92"/>
      <c r="W22" s="92"/>
      <c r="X22" s="92"/>
      <c r="Y22" s="92"/>
      <c r="Z22" s="92"/>
      <c r="AA22" s="92"/>
      <c r="AB22" s="92"/>
      <c r="AC22" s="92"/>
      <c r="AD22" s="167"/>
      <c r="AE22" s="183">
        <v>511</v>
      </c>
      <c r="AF22" s="92">
        <v>511</v>
      </c>
      <c r="AG22" s="92">
        <v>536</v>
      </c>
      <c r="AH22" s="184">
        <v>536</v>
      </c>
      <c r="AI22" s="183">
        <v>288</v>
      </c>
      <c r="AJ22" s="92"/>
      <c r="AK22" s="92">
        <v>302</v>
      </c>
      <c r="AL22" s="184">
        <v>302</v>
      </c>
      <c r="AM22" s="183">
        <v>4038</v>
      </c>
      <c r="AN22" s="92">
        <v>4038</v>
      </c>
      <c r="AO22" s="92">
        <v>4239</v>
      </c>
      <c r="AP22" s="184">
        <v>4239</v>
      </c>
      <c r="AR22" s="84" t="s">
        <v>141</v>
      </c>
      <c r="AS22" s="84" t="s">
        <v>162</v>
      </c>
    </row>
    <row r="23" spans="2:45" x14ac:dyDescent="0.25">
      <c r="B23" s="88" t="s">
        <v>33</v>
      </c>
      <c r="C23" s="88">
        <v>10</v>
      </c>
      <c r="D23" s="88">
        <v>20</v>
      </c>
      <c r="E23" s="88">
        <v>30</v>
      </c>
      <c r="F23" s="88"/>
      <c r="G23" s="88"/>
      <c r="H23" s="88"/>
      <c r="I23" s="88"/>
      <c r="J23" s="88"/>
      <c r="K23" s="88"/>
      <c r="L23" s="88"/>
      <c r="M23" s="88"/>
      <c r="N23" s="88"/>
      <c r="O23" s="88"/>
      <c r="P23" s="88"/>
      <c r="Q23" s="88"/>
      <c r="R23" s="88"/>
      <c r="S23" s="88"/>
      <c r="T23" s="88"/>
      <c r="U23" s="88"/>
      <c r="V23" s="88"/>
      <c r="W23" s="88"/>
      <c r="X23" s="88"/>
      <c r="Y23" s="88"/>
      <c r="Z23" s="88"/>
      <c r="AA23" s="88"/>
      <c r="AB23" s="88"/>
      <c r="AC23" s="88"/>
      <c r="AD23" s="163"/>
      <c r="AE23" s="174"/>
      <c r="AF23" s="193" t="s">
        <v>405</v>
      </c>
      <c r="AG23" s="88">
        <v>705</v>
      </c>
      <c r="AH23" s="194" t="s">
        <v>405</v>
      </c>
      <c r="AI23" s="174"/>
      <c r="AJ23" s="88"/>
      <c r="AK23" s="88">
        <v>312</v>
      </c>
      <c r="AL23" s="175">
        <v>312</v>
      </c>
      <c r="AM23" s="174"/>
      <c r="AN23" s="88"/>
      <c r="AO23" s="88">
        <v>3682</v>
      </c>
      <c r="AP23" s="175">
        <v>3682</v>
      </c>
      <c r="AR23" s="84" t="s">
        <v>141</v>
      </c>
      <c r="AS23" s="84" t="s">
        <v>159</v>
      </c>
    </row>
    <row r="24" spans="2:45" x14ac:dyDescent="0.25">
      <c r="B24" s="90" t="s">
        <v>34</v>
      </c>
      <c r="C24" s="90"/>
      <c r="D24" s="90"/>
      <c r="E24" s="90"/>
      <c r="F24" s="90"/>
      <c r="G24" s="90"/>
      <c r="H24" s="90"/>
      <c r="I24" s="90"/>
      <c r="J24" s="90"/>
      <c r="K24" s="90"/>
      <c r="L24" s="90"/>
      <c r="M24" s="90"/>
      <c r="N24" s="90"/>
      <c r="O24" s="90"/>
      <c r="P24" s="90"/>
      <c r="Q24" s="90"/>
      <c r="R24" s="90"/>
      <c r="S24" s="90"/>
      <c r="T24" s="90"/>
      <c r="U24" s="90"/>
      <c r="V24" s="90"/>
      <c r="W24" s="90"/>
      <c r="X24" s="90">
        <v>5</v>
      </c>
      <c r="Y24" s="90">
        <v>10</v>
      </c>
      <c r="Z24" s="90">
        <v>15</v>
      </c>
      <c r="AA24" s="90"/>
      <c r="AB24" s="90"/>
      <c r="AC24" s="90"/>
      <c r="AD24" s="165"/>
      <c r="AE24" s="178"/>
      <c r="AF24" s="90"/>
      <c r="AG24" s="90"/>
      <c r="AH24" s="179"/>
      <c r="AI24" s="178"/>
      <c r="AJ24" s="90"/>
      <c r="AK24" s="90"/>
      <c r="AL24" s="179"/>
      <c r="AM24" s="178"/>
      <c r="AN24" s="90"/>
      <c r="AO24" s="90"/>
      <c r="AP24" s="179"/>
      <c r="AR24" s="84" t="s">
        <v>143</v>
      </c>
      <c r="AS24" s="84" t="s">
        <v>162</v>
      </c>
    </row>
    <row r="25" spans="2:45" x14ac:dyDescent="0.25">
      <c r="B25" s="88" t="s">
        <v>35</v>
      </c>
      <c r="C25" s="88">
        <v>10</v>
      </c>
      <c r="D25" s="88">
        <v>20</v>
      </c>
      <c r="E25" s="88">
        <v>30</v>
      </c>
      <c r="F25" s="88"/>
      <c r="G25" s="88"/>
      <c r="H25" s="88"/>
      <c r="I25" s="88"/>
      <c r="J25" s="88"/>
      <c r="K25" s="88"/>
      <c r="L25" s="88"/>
      <c r="M25" s="88"/>
      <c r="N25" s="88"/>
      <c r="O25" s="88"/>
      <c r="P25" s="88"/>
      <c r="Q25" s="88"/>
      <c r="R25" s="88"/>
      <c r="S25" s="88"/>
      <c r="T25" s="88"/>
      <c r="U25" s="88"/>
      <c r="V25" s="88"/>
      <c r="W25" s="88"/>
      <c r="X25" s="88"/>
      <c r="Y25" s="88"/>
      <c r="Z25" s="88"/>
      <c r="AA25" s="88"/>
      <c r="AB25" s="88"/>
      <c r="AC25" s="88"/>
      <c r="AD25" s="163"/>
      <c r="AE25" s="174"/>
      <c r="AF25" s="193" t="s">
        <v>405</v>
      </c>
      <c r="AG25" s="88"/>
      <c r="AH25" s="194" t="s">
        <v>405</v>
      </c>
      <c r="AI25" s="174"/>
      <c r="AJ25" s="88"/>
      <c r="AK25" s="88"/>
      <c r="AL25" s="175"/>
      <c r="AM25" s="174"/>
      <c r="AN25" s="88"/>
      <c r="AO25" s="88"/>
      <c r="AP25" s="175"/>
      <c r="AR25" s="84" t="s">
        <v>143</v>
      </c>
      <c r="AS25" s="84" t="s">
        <v>162</v>
      </c>
    </row>
    <row r="26" spans="2:45" x14ac:dyDescent="0.25">
      <c r="B26" s="88" t="s">
        <v>36</v>
      </c>
      <c r="C26" s="88">
        <v>10</v>
      </c>
      <c r="D26" s="88">
        <v>20</v>
      </c>
      <c r="E26" s="88">
        <v>30</v>
      </c>
      <c r="F26" s="88"/>
      <c r="G26" s="88"/>
      <c r="H26" s="88"/>
      <c r="I26" s="88"/>
      <c r="J26" s="88"/>
      <c r="K26" s="88"/>
      <c r="L26" s="88"/>
      <c r="M26" s="88"/>
      <c r="N26" s="88"/>
      <c r="O26" s="88"/>
      <c r="P26" s="88"/>
      <c r="Q26" s="88"/>
      <c r="R26" s="88"/>
      <c r="S26" s="88"/>
      <c r="T26" s="88"/>
      <c r="U26" s="88"/>
      <c r="V26" s="88"/>
      <c r="W26" s="88"/>
      <c r="X26" s="88"/>
      <c r="Y26" s="88"/>
      <c r="Z26" s="88"/>
      <c r="AA26" s="88"/>
      <c r="AB26" s="88"/>
      <c r="AC26" s="88"/>
      <c r="AD26" s="163"/>
      <c r="AE26" s="174"/>
      <c r="AF26" s="193" t="s">
        <v>405</v>
      </c>
      <c r="AG26" s="88"/>
      <c r="AH26" s="194" t="s">
        <v>405</v>
      </c>
      <c r="AI26" s="174"/>
      <c r="AJ26" s="88"/>
      <c r="AK26" s="88"/>
      <c r="AL26" s="175"/>
      <c r="AM26" s="174"/>
      <c r="AN26" s="88"/>
      <c r="AO26" s="88"/>
      <c r="AP26" s="175"/>
      <c r="AR26" s="84" t="s">
        <v>142</v>
      </c>
      <c r="AS26" s="84" t="s">
        <v>159</v>
      </c>
    </row>
    <row r="27" spans="2:45" x14ac:dyDescent="0.25">
      <c r="B27" s="95" t="s">
        <v>163</v>
      </c>
      <c r="C27" s="95"/>
      <c r="D27" s="95"/>
      <c r="E27" s="95"/>
      <c r="F27" s="95"/>
      <c r="G27" s="95"/>
      <c r="H27" s="95"/>
      <c r="I27" s="95"/>
      <c r="J27" s="95"/>
      <c r="K27" s="95"/>
      <c r="L27" s="95"/>
      <c r="M27" s="95"/>
      <c r="N27" s="95"/>
      <c r="O27" s="95"/>
      <c r="P27" s="95"/>
      <c r="Q27" s="95"/>
      <c r="R27" s="95"/>
      <c r="S27" s="95"/>
      <c r="T27" s="95"/>
      <c r="U27" s="95"/>
      <c r="V27" s="95"/>
      <c r="W27" s="95"/>
      <c r="X27" s="95"/>
      <c r="Y27" s="95"/>
      <c r="Z27" s="95"/>
      <c r="AA27" s="95">
        <v>5</v>
      </c>
      <c r="AB27" s="95">
        <v>10</v>
      </c>
      <c r="AC27" s="95">
        <v>15</v>
      </c>
      <c r="AD27" s="169"/>
      <c r="AE27" s="187"/>
      <c r="AF27" s="95"/>
      <c r="AG27" s="95"/>
      <c r="AH27" s="188"/>
      <c r="AI27" s="187"/>
      <c r="AJ27" s="95"/>
      <c r="AK27" s="95"/>
      <c r="AL27" s="188"/>
      <c r="AM27" s="187"/>
      <c r="AN27" s="95"/>
      <c r="AO27" s="95"/>
      <c r="AP27" s="188"/>
      <c r="AR27" s="84" t="s">
        <v>140</v>
      </c>
      <c r="AS27" s="84" t="s">
        <v>158</v>
      </c>
    </row>
    <row r="28" spans="2:45" x14ac:dyDescent="0.25">
      <c r="B28" s="196" t="s">
        <v>232</v>
      </c>
      <c r="C28" s="196"/>
      <c r="D28" s="196"/>
      <c r="E28" s="196"/>
      <c r="F28" s="196"/>
      <c r="G28" s="196"/>
      <c r="H28" s="196"/>
      <c r="I28" s="196"/>
      <c r="J28" s="196"/>
      <c r="K28" s="196"/>
      <c r="L28" s="196"/>
      <c r="M28" s="196"/>
      <c r="N28" s="196"/>
      <c r="O28" s="196"/>
      <c r="P28" s="196"/>
      <c r="Q28" s="196"/>
      <c r="R28" s="196">
        <v>5</v>
      </c>
      <c r="S28" s="196">
        <v>10</v>
      </c>
      <c r="T28" s="196">
        <v>15</v>
      </c>
      <c r="U28" s="196"/>
      <c r="V28" s="196"/>
      <c r="W28" s="196"/>
      <c r="X28" s="196"/>
      <c r="Y28" s="196"/>
      <c r="Z28" s="196"/>
      <c r="AA28" s="196"/>
      <c r="AB28" s="196"/>
      <c r="AC28" s="196"/>
      <c r="AD28" s="197"/>
      <c r="AE28" s="198"/>
      <c r="AF28" s="196"/>
      <c r="AG28" s="196"/>
      <c r="AH28" s="199"/>
      <c r="AI28" s="198"/>
      <c r="AJ28" s="196"/>
      <c r="AK28" s="196"/>
      <c r="AL28" s="199"/>
      <c r="AM28" s="198"/>
      <c r="AN28" s="196"/>
      <c r="AO28" s="196"/>
      <c r="AP28" s="199"/>
      <c r="AR28" s="84" t="s">
        <v>143</v>
      </c>
      <c r="AS28" s="84" t="s">
        <v>160</v>
      </c>
    </row>
    <row r="29" spans="2:45" ht="17.25" thickBot="1" x14ac:dyDescent="0.3">
      <c r="B29" s="203" t="s">
        <v>407</v>
      </c>
      <c r="C29" s="88">
        <v>10</v>
      </c>
      <c r="D29" s="88">
        <v>20</v>
      </c>
      <c r="E29" s="88">
        <v>30</v>
      </c>
      <c r="F29" s="88"/>
      <c r="G29" s="88"/>
      <c r="H29" s="88"/>
      <c r="I29" s="88"/>
      <c r="J29" s="88"/>
      <c r="K29" s="88"/>
      <c r="L29" s="88"/>
      <c r="M29" s="88"/>
      <c r="N29" s="88"/>
      <c r="O29" s="88"/>
      <c r="P29" s="88"/>
      <c r="Q29" s="88"/>
      <c r="R29" s="88"/>
      <c r="S29" s="88"/>
      <c r="T29" s="88"/>
      <c r="U29" s="88"/>
      <c r="V29" s="88"/>
      <c r="W29" s="88"/>
      <c r="X29" s="88"/>
      <c r="Y29" s="88"/>
      <c r="Z29" s="88"/>
      <c r="AA29" s="88"/>
      <c r="AB29" s="88"/>
      <c r="AC29" s="88"/>
      <c r="AD29" s="163"/>
      <c r="AE29" s="200"/>
      <c r="AF29" s="271">
        <v>651</v>
      </c>
      <c r="AG29" s="201">
        <v>913</v>
      </c>
      <c r="AH29" s="259">
        <v>703</v>
      </c>
      <c r="AI29" s="200"/>
      <c r="AJ29" s="201"/>
      <c r="AK29" s="201">
        <v>328</v>
      </c>
      <c r="AL29" s="202">
        <v>328</v>
      </c>
      <c r="AM29" s="200"/>
      <c r="AN29" s="201"/>
      <c r="AO29" s="201">
        <v>4102</v>
      </c>
      <c r="AP29" s="202">
        <v>4102</v>
      </c>
      <c r="AR29" s="84" t="s">
        <v>141</v>
      </c>
      <c r="AS29" s="84" t="s">
        <v>159</v>
      </c>
    </row>
    <row r="30" spans="2:45" x14ac:dyDescent="0.25">
      <c r="B30" s="90" t="s">
        <v>561</v>
      </c>
      <c r="C30" s="90"/>
      <c r="D30" s="90"/>
      <c r="E30" s="90"/>
      <c r="F30" s="90"/>
      <c r="G30" s="90"/>
      <c r="H30" s="90"/>
      <c r="I30" s="90"/>
      <c r="J30" s="90"/>
      <c r="K30" s="90"/>
      <c r="L30" s="90"/>
      <c r="M30" s="90"/>
      <c r="N30" s="90"/>
      <c r="O30" s="90"/>
      <c r="P30" s="90"/>
      <c r="Q30" s="90"/>
      <c r="R30" s="90"/>
      <c r="S30" s="90"/>
      <c r="T30" s="90"/>
      <c r="U30" s="90">
        <v>5</v>
      </c>
      <c r="V30" s="90">
        <v>10</v>
      </c>
      <c r="W30" s="90">
        <v>15</v>
      </c>
      <c r="X30" s="90"/>
      <c r="Y30" s="90"/>
      <c r="Z30" s="90"/>
      <c r="AA30" s="90"/>
      <c r="AB30" s="90"/>
      <c r="AC30" s="90"/>
      <c r="AD30" s="90"/>
      <c r="AE30" s="90"/>
      <c r="AF30" s="90"/>
      <c r="AG30" s="90"/>
      <c r="AH30" s="90"/>
      <c r="AI30" s="90"/>
      <c r="AJ30" s="90"/>
      <c r="AK30" s="90"/>
      <c r="AL30" s="90"/>
      <c r="AM30" s="90"/>
      <c r="AN30" s="90"/>
      <c r="AO30" s="90"/>
      <c r="AP30" s="90"/>
      <c r="AR30" s="84" t="s">
        <v>140</v>
      </c>
      <c r="AS30" s="84" t="s">
        <v>158</v>
      </c>
    </row>
    <row r="31" spans="2:45" x14ac:dyDescent="0.25">
      <c r="B31" s="379" t="s">
        <v>608</v>
      </c>
      <c r="C31" s="89"/>
      <c r="D31" s="89"/>
      <c r="E31" s="89"/>
      <c r="F31" s="89"/>
      <c r="G31" s="89"/>
      <c r="H31" s="89"/>
      <c r="I31" s="89">
        <v>7.5</v>
      </c>
      <c r="J31" s="89">
        <v>15</v>
      </c>
      <c r="K31" s="89">
        <v>22.5</v>
      </c>
      <c r="L31" s="89"/>
      <c r="M31" s="89"/>
      <c r="N31" s="89"/>
      <c r="O31" s="89"/>
      <c r="P31" s="89"/>
      <c r="Q31" s="89"/>
      <c r="R31" s="89"/>
      <c r="S31" s="89"/>
      <c r="T31" s="89"/>
      <c r="U31" s="89"/>
      <c r="V31" s="89"/>
      <c r="W31" s="89"/>
      <c r="X31" s="89"/>
      <c r="Y31" s="89"/>
      <c r="Z31" s="89"/>
      <c r="AA31" s="89"/>
      <c r="AB31" s="89"/>
      <c r="AC31" s="89"/>
      <c r="AD31" s="89"/>
      <c r="AE31" s="89"/>
      <c r="AF31" s="89"/>
      <c r="AG31" s="89">
        <v>652</v>
      </c>
      <c r="AH31" s="89">
        <v>652</v>
      </c>
      <c r="AI31" s="89"/>
      <c r="AJ31" s="89"/>
      <c r="AK31" s="89"/>
      <c r="AL31" s="89"/>
      <c r="AM31" s="89"/>
      <c r="AN31" s="89"/>
      <c r="AO31" s="89"/>
      <c r="AP31" s="89"/>
      <c r="AR31" s="84" t="s">
        <v>142</v>
      </c>
      <c r="AS31" s="84" t="s">
        <v>162</v>
      </c>
    </row>
    <row r="32" spans="2:45" x14ac:dyDescent="0.25">
      <c r="B32" s="403" t="s">
        <v>654</v>
      </c>
      <c r="I32" s="89">
        <v>7.5</v>
      </c>
      <c r="J32" s="89">
        <v>15</v>
      </c>
      <c r="K32" s="89">
        <v>22.5</v>
      </c>
      <c r="AE32" s="84">
        <v>661</v>
      </c>
      <c r="AF32" s="84">
        <v>661</v>
      </c>
      <c r="AG32" s="84">
        <v>713</v>
      </c>
      <c r="AH32" s="84">
        <v>713</v>
      </c>
      <c r="AR32" s="403" t="s">
        <v>143</v>
      </c>
      <c r="AS32" s="84" t="s">
        <v>161</v>
      </c>
    </row>
  </sheetData>
  <mergeCells count="17">
    <mergeCell ref="AA3:AC3"/>
    <mergeCell ref="AM2:AN2"/>
    <mergeCell ref="AO2:AP2"/>
    <mergeCell ref="B2:B3"/>
    <mergeCell ref="AE2:AF2"/>
    <mergeCell ref="AG2:AH2"/>
    <mergeCell ref="AI2:AJ2"/>
    <mergeCell ref="AK2:AL2"/>
    <mergeCell ref="C3:E3"/>
    <mergeCell ref="F3:H3"/>
    <mergeCell ref="I3:K3"/>
    <mergeCell ref="L3:N3"/>
    <mergeCell ref="U3:W3"/>
    <mergeCell ref="R3:T3"/>
    <mergeCell ref="O3:Q3"/>
    <mergeCell ref="C2:AC2"/>
    <mergeCell ref="X3:Z3"/>
  </mergeCells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B2CB9E-D2C2-46C5-AF9B-8D2805EDFD40}">
  <sheetPr codeName="工作表3"/>
  <dimension ref="A1:BR84"/>
  <sheetViews>
    <sheetView zoomScale="70" zoomScaleNormal="70" workbookViewId="0">
      <selection activeCell="L32" sqref="L32"/>
    </sheetView>
  </sheetViews>
  <sheetFormatPr defaultRowHeight="16.5" x14ac:dyDescent="0.25"/>
  <cols>
    <col min="1" max="1" width="9.140625" style="281"/>
    <col min="2" max="2" width="19.85546875" style="281" customWidth="1"/>
    <col min="3" max="3" width="11.28515625" style="281" customWidth="1"/>
    <col min="4" max="4" width="11.42578125" style="281" customWidth="1"/>
    <col min="5" max="6" width="13.140625" style="281" customWidth="1"/>
    <col min="7" max="9" width="9.140625" style="281" customWidth="1"/>
    <col min="10" max="10" width="8.7109375" style="281" customWidth="1"/>
    <col min="11" max="15" width="9.140625" style="282" customWidth="1"/>
    <col min="16" max="16" width="9.7109375" style="282" customWidth="1"/>
    <col min="17" max="17" width="9.140625" style="282" customWidth="1"/>
    <col min="18" max="18" width="9.5703125" style="282" customWidth="1"/>
    <col min="19" max="19" width="13.7109375" style="282" customWidth="1"/>
    <col min="20" max="20" width="9.140625" style="282" customWidth="1"/>
    <col min="21" max="21" width="10.140625" style="282" customWidth="1"/>
    <col min="22" max="25" width="9.140625" style="282" customWidth="1"/>
    <col min="26" max="26" width="9.7109375" style="282" customWidth="1"/>
    <col min="27" max="31" width="9.140625" style="282" customWidth="1"/>
    <col min="32" max="35" width="9.140625" style="282"/>
    <col min="36" max="41" width="11.140625" style="282" customWidth="1"/>
    <col min="42" max="49" width="9.140625" style="282"/>
    <col min="50" max="50" width="9.140625" style="282" customWidth="1"/>
    <col min="51" max="51" width="10.7109375" style="282" customWidth="1"/>
    <col min="52" max="66" width="9.140625" style="282"/>
    <col min="67" max="67" width="16.140625" style="282" customWidth="1"/>
    <col min="68" max="69" width="9.7109375" style="282" bestFit="1" customWidth="1"/>
    <col min="70" max="70" width="13" style="282" bestFit="1" customWidth="1"/>
    <col min="71" max="71" width="10.28515625" style="282" bestFit="1" customWidth="1"/>
    <col min="72" max="16384" width="9.140625" style="282"/>
  </cols>
  <sheetData>
    <row r="1" spans="2:69" x14ac:dyDescent="0.25">
      <c r="BP1" s="281"/>
    </row>
    <row r="2" spans="2:69" x14ac:dyDescent="0.25">
      <c r="B2" s="280"/>
      <c r="C2" s="492" t="s">
        <v>4</v>
      </c>
      <c r="D2" s="492"/>
      <c r="E2" s="492"/>
      <c r="F2" s="492"/>
      <c r="G2" s="492" t="s">
        <v>81</v>
      </c>
      <c r="H2" s="492"/>
      <c r="I2" s="492"/>
      <c r="J2" s="492"/>
      <c r="K2" s="492" t="s">
        <v>82</v>
      </c>
      <c r="L2" s="492"/>
      <c r="M2" s="492"/>
      <c r="N2" s="492"/>
      <c r="O2" s="492" t="s">
        <v>83</v>
      </c>
      <c r="P2" s="492"/>
      <c r="Q2" s="492"/>
      <c r="R2" s="492"/>
      <c r="S2" s="280" t="s">
        <v>154</v>
      </c>
      <c r="T2" s="492" t="s">
        <v>41</v>
      </c>
      <c r="U2" s="492"/>
      <c r="V2" s="492" t="s">
        <v>50</v>
      </c>
      <c r="W2" s="492"/>
      <c r="X2" s="492"/>
      <c r="Y2" s="492"/>
      <c r="Z2" s="492"/>
      <c r="AA2" s="492"/>
      <c r="AB2" s="492"/>
      <c r="AC2" s="492"/>
      <c r="AD2" s="492"/>
      <c r="AE2" s="492"/>
      <c r="AF2" s="492"/>
      <c r="AG2" s="492"/>
      <c r="AH2" s="492"/>
      <c r="AI2" s="492"/>
      <c r="AJ2" s="492"/>
      <c r="AK2" s="492"/>
      <c r="AL2" s="492"/>
      <c r="AM2" s="492"/>
      <c r="AN2" s="492"/>
      <c r="AO2" s="492"/>
      <c r="AP2" s="492"/>
      <c r="AQ2" s="492"/>
      <c r="AR2" s="492"/>
      <c r="AS2" s="492"/>
      <c r="AT2" s="492"/>
      <c r="AU2" s="492"/>
      <c r="AV2" s="492"/>
      <c r="AW2" s="494" t="s">
        <v>137</v>
      </c>
      <c r="AX2" s="495"/>
      <c r="AY2" s="495"/>
      <c r="AZ2" s="495"/>
      <c r="BA2" s="495"/>
      <c r="BB2" s="495"/>
      <c r="BC2" s="495"/>
      <c r="BD2" s="495"/>
      <c r="BE2" s="495"/>
      <c r="BF2" s="495"/>
      <c r="BG2" s="495"/>
      <c r="BH2" s="496"/>
      <c r="BI2" s="497" t="s">
        <v>512</v>
      </c>
      <c r="BJ2" s="494" t="s">
        <v>366</v>
      </c>
      <c r="BK2" s="495"/>
      <c r="BL2" s="495"/>
      <c r="BM2" s="496"/>
      <c r="BN2" s="492" t="s">
        <v>322</v>
      </c>
      <c r="BO2" s="280" t="s">
        <v>7</v>
      </c>
      <c r="BP2" s="280">
        <f>IF(首頁!D4&gt;=3,VLOOKUP(首頁!D3,角色與等級!B4:AP32,32,FALSE),VLOOKUP(首頁!D3,角色與等級!B4:AP32,32,FALSE))</f>
        <v>713</v>
      </c>
      <c r="BQ2" s="493"/>
    </row>
    <row r="3" spans="2:69" ht="15.75" customHeight="1" x14ac:dyDescent="0.25">
      <c r="B3" s="280"/>
      <c r="C3" s="280" t="s">
        <v>69</v>
      </c>
      <c r="D3" s="280" t="s">
        <v>68</v>
      </c>
      <c r="E3" s="280" t="s">
        <v>151</v>
      </c>
      <c r="F3" s="280" t="s">
        <v>152</v>
      </c>
      <c r="G3" s="280" t="s">
        <v>69</v>
      </c>
      <c r="H3" s="280" t="s">
        <v>68</v>
      </c>
      <c r="I3" s="280" t="s">
        <v>151</v>
      </c>
      <c r="J3" s="280" t="s">
        <v>152</v>
      </c>
      <c r="K3" s="280" t="s">
        <v>69</v>
      </c>
      <c r="L3" s="280" t="s">
        <v>68</v>
      </c>
      <c r="M3" s="280" t="s">
        <v>151</v>
      </c>
      <c r="N3" s="280" t="s">
        <v>152</v>
      </c>
      <c r="O3" s="280" t="s">
        <v>69</v>
      </c>
      <c r="P3" s="280" t="s">
        <v>68</v>
      </c>
      <c r="Q3" s="280" t="s">
        <v>151</v>
      </c>
      <c r="R3" s="280" t="s">
        <v>152</v>
      </c>
      <c r="S3" s="280" t="s">
        <v>153</v>
      </c>
      <c r="T3" s="280" t="s">
        <v>41</v>
      </c>
      <c r="U3" s="280" t="s">
        <v>150</v>
      </c>
      <c r="V3" s="280" t="s">
        <v>24</v>
      </c>
      <c r="W3" s="280" t="s">
        <v>23</v>
      </c>
      <c r="X3" s="280" t="s">
        <v>302</v>
      </c>
      <c r="Y3" s="280" t="s">
        <v>17</v>
      </c>
      <c r="Z3" s="280" t="s">
        <v>6</v>
      </c>
      <c r="AA3" s="280" t="s">
        <v>303</v>
      </c>
      <c r="AB3" s="280" t="s">
        <v>21</v>
      </c>
      <c r="AC3" s="280" t="s">
        <v>304</v>
      </c>
      <c r="AD3" s="280" t="s">
        <v>305</v>
      </c>
      <c r="AE3" s="280" t="s">
        <v>26</v>
      </c>
      <c r="AF3" s="280" t="s">
        <v>22</v>
      </c>
      <c r="AG3" s="280" t="s">
        <v>306</v>
      </c>
      <c r="AH3" s="280" t="s">
        <v>274</v>
      </c>
      <c r="AI3" s="280" t="s">
        <v>232</v>
      </c>
      <c r="AJ3" s="280" t="s">
        <v>279</v>
      </c>
      <c r="AK3" s="280" t="s">
        <v>391</v>
      </c>
      <c r="AL3" s="280" t="s">
        <v>607</v>
      </c>
      <c r="AM3" s="381" t="s">
        <v>609</v>
      </c>
      <c r="AN3" s="405" t="s">
        <v>655</v>
      </c>
      <c r="AO3" s="405"/>
      <c r="AP3" s="280" t="s">
        <v>307</v>
      </c>
      <c r="AQ3" s="280" t="s">
        <v>36</v>
      </c>
      <c r="AR3" s="280" t="s">
        <v>33</v>
      </c>
      <c r="AS3" s="280" t="s">
        <v>31</v>
      </c>
      <c r="AT3" s="280" t="s">
        <v>29</v>
      </c>
      <c r="AU3" s="280" t="s">
        <v>34</v>
      </c>
      <c r="AV3" s="280" t="s">
        <v>27</v>
      </c>
      <c r="AW3" s="280" t="s">
        <v>379</v>
      </c>
      <c r="AX3" s="280" t="s">
        <v>392</v>
      </c>
      <c r="AY3" s="280" t="s">
        <v>279</v>
      </c>
      <c r="AZ3" s="280" t="s">
        <v>381</v>
      </c>
      <c r="BA3" s="280" t="s">
        <v>395</v>
      </c>
      <c r="BB3" s="280" t="s">
        <v>396</v>
      </c>
      <c r="BC3" s="280" t="s">
        <v>579</v>
      </c>
      <c r="BD3" s="280" t="s">
        <v>561</v>
      </c>
      <c r="BE3" s="280" t="s">
        <v>580</v>
      </c>
      <c r="BF3" s="280" t="s">
        <v>582</v>
      </c>
      <c r="BG3" s="280" t="s">
        <v>581</v>
      </c>
      <c r="BH3" s="280" t="s">
        <v>397</v>
      </c>
      <c r="BI3" s="498"/>
      <c r="BJ3" s="280"/>
      <c r="BK3" s="349" t="s">
        <v>17</v>
      </c>
      <c r="BL3" s="280"/>
      <c r="BM3" s="280"/>
      <c r="BN3" s="492"/>
      <c r="BO3" s="280" t="s">
        <v>8</v>
      </c>
      <c r="BP3" s="280">
        <f>IF(首頁!D4&gt;=3,VLOOKUP(首頁!D3,角色與等級!B4:AP32,33,FALSE),VLOOKUP(首頁!D3,角色與等級!B4:AP32,31,FALSE))</f>
        <v>713</v>
      </c>
      <c r="BQ3" s="493"/>
    </row>
    <row r="4" spans="2:69" x14ac:dyDescent="0.25">
      <c r="B4" s="280" t="s">
        <v>129</v>
      </c>
      <c r="C4" s="280"/>
      <c r="D4" s="280"/>
      <c r="E4" s="314" t="str">
        <f>IF(首頁!N3="火屬性攻擊力", IF(首頁!Q3=0, 首頁!P3, 首頁!Q3), "")</f>
        <v/>
      </c>
      <c r="F4" s="314" t="str">
        <f>IF(首頁!N4="火屬性攻擊力", IF(首頁!Q4=0, 首頁!P4, 首頁!Q4), "")</f>
        <v/>
      </c>
      <c r="G4" s="280"/>
      <c r="H4" s="315" t="str">
        <f>IF(首頁!K5="火怪", IF(首頁!M6="", 套裝!D8, INDEX(套裝!D8:H8, 1, 首頁!M6)), "")</f>
        <v/>
      </c>
      <c r="I4" s="280"/>
      <c r="J4" s="280"/>
      <c r="K4" s="305"/>
      <c r="L4" s="305"/>
      <c r="M4" s="305"/>
      <c r="N4" s="305"/>
      <c r="O4" s="305"/>
      <c r="P4" s="305"/>
      <c r="Q4" s="305"/>
      <c r="R4" s="305"/>
      <c r="S4" s="305"/>
      <c r="T4" s="280"/>
      <c r="U4" s="316" t="str">
        <f>IF(首頁!K5="火怪", 50, "")</f>
        <v/>
      </c>
      <c r="V4" s="305"/>
      <c r="W4" s="305"/>
      <c r="X4" s="305"/>
      <c r="Y4" s="305"/>
      <c r="Z4" s="305"/>
      <c r="AA4" s="305"/>
      <c r="AB4" s="305"/>
      <c r="AC4" s="305"/>
      <c r="AD4" s="305"/>
      <c r="AE4" s="305"/>
      <c r="AF4" s="305"/>
      <c r="AG4" s="305"/>
      <c r="AH4" s="305"/>
      <c r="AI4" s="305"/>
      <c r="AJ4" s="305"/>
      <c r="AK4" s="305"/>
      <c r="AL4" s="305"/>
      <c r="AM4" s="305"/>
      <c r="AN4" s="305"/>
      <c r="AO4" s="305"/>
      <c r="AP4" s="305"/>
      <c r="AQ4" s="305"/>
      <c r="AR4" s="305"/>
      <c r="AS4" s="305"/>
      <c r="AT4" s="305"/>
      <c r="AU4" s="305"/>
      <c r="AV4" s="305"/>
      <c r="AW4" s="305"/>
      <c r="AX4" s="305"/>
      <c r="AY4" s="305"/>
      <c r="AZ4" s="305"/>
      <c r="BA4" s="305"/>
      <c r="BB4" s="305"/>
      <c r="BC4" s="305"/>
      <c r="BD4" s="305"/>
      <c r="BE4" s="305"/>
      <c r="BF4" s="305"/>
      <c r="BG4" s="305"/>
      <c r="BH4" s="305"/>
      <c r="BI4" s="305"/>
      <c r="BJ4" s="305"/>
      <c r="BK4" s="305"/>
      <c r="BL4" s="305"/>
      <c r="BM4" s="305"/>
      <c r="BN4" s="305"/>
      <c r="BO4" s="280" t="s">
        <v>129</v>
      </c>
      <c r="BP4" s="317">
        <f>SUM(C4:INDEX(4:4, COLUMN(BP4)-2))</f>
        <v>0</v>
      </c>
    </row>
    <row r="5" spans="2:69" x14ac:dyDescent="0.25">
      <c r="B5" s="280" t="s">
        <v>128</v>
      </c>
      <c r="C5" s="280"/>
      <c r="D5" s="280"/>
      <c r="E5" s="314" t="str">
        <f>IF(首頁!N3="水屬性攻擊力", IF(首頁!Q3=0, 首頁!P3, 首頁!Q3), "")</f>
        <v/>
      </c>
      <c r="F5" s="314" t="str">
        <f>IF(首頁!N4="水屬性攻擊力", IF(首頁!Q4=0, 首頁!P4, 首頁!Q4), "")</f>
        <v/>
      </c>
      <c r="G5" s="280"/>
      <c r="H5" s="315" t="str">
        <f>IF(首頁!K5="美人魚", IF(首頁!M6="", 套裝!D8, INDEX(套裝!D8:H8, 1, 首頁!M6)), "")</f>
        <v/>
      </c>
      <c r="I5" s="280"/>
      <c r="J5" s="280"/>
      <c r="K5" s="305"/>
      <c r="L5" s="305"/>
      <c r="M5" s="305"/>
      <c r="N5" s="305"/>
      <c r="O5" s="305"/>
      <c r="P5" s="305"/>
      <c r="Q5" s="305"/>
      <c r="R5" s="305"/>
      <c r="S5" s="280"/>
      <c r="T5" s="280"/>
      <c r="U5" s="316" t="str">
        <f>IF(首頁!K5="美人魚", 50, "")</f>
        <v/>
      </c>
      <c r="V5" s="305"/>
      <c r="W5" s="305"/>
      <c r="X5" s="305"/>
      <c r="Y5" s="305"/>
      <c r="Z5" s="305"/>
      <c r="AA5" s="305"/>
      <c r="AB5" s="305"/>
      <c r="AC5" s="305"/>
      <c r="AD5" s="305"/>
      <c r="AE5" s="305"/>
      <c r="AF5" s="305"/>
      <c r="AG5" s="305"/>
      <c r="AH5" s="305"/>
      <c r="AI5" s="305"/>
      <c r="AJ5" s="305"/>
      <c r="AK5" s="305"/>
      <c r="AL5" s="305"/>
      <c r="AM5" s="305"/>
      <c r="AN5" s="305"/>
      <c r="AO5" s="305"/>
      <c r="AP5" s="305"/>
      <c r="AQ5" s="305"/>
      <c r="AR5" s="305"/>
      <c r="AS5" s="305"/>
      <c r="AT5" s="305"/>
      <c r="AU5" s="305"/>
      <c r="AV5" s="305"/>
      <c r="AW5" s="305"/>
      <c r="AX5" s="305"/>
      <c r="AY5" s="305"/>
      <c r="AZ5" s="305"/>
      <c r="BA5" s="305"/>
      <c r="BB5" s="305"/>
      <c r="BC5" s="305"/>
      <c r="BD5" s="305"/>
      <c r="BE5" s="305"/>
      <c r="BF5" s="305"/>
      <c r="BG5" s="305"/>
      <c r="BH5" s="305"/>
      <c r="BI5" s="305"/>
      <c r="BJ5" s="305"/>
      <c r="BK5" s="305"/>
      <c r="BL5" s="305"/>
      <c r="BM5" s="305"/>
      <c r="BN5" s="305"/>
      <c r="BO5" s="280" t="s">
        <v>128</v>
      </c>
      <c r="BP5" s="317">
        <f>SUM(C5:INDEX(5:5, COLUMN(BP5)-2))</f>
        <v>0</v>
      </c>
    </row>
    <row r="6" spans="2:69" x14ac:dyDescent="0.25">
      <c r="B6" s="280" t="s">
        <v>130</v>
      </c>
      <c r="C6" s="280"/>
      <c r="D6" s="280"/>
      <c r="E6" s="314" t="str">
        <f>IF(首頁!N3="風屬性攻擊力", IF(首頁!Q3=0, 首頁!P3, 首頁!Q3), "")</f>
        <v/>
      </c>
      <c r="F6" s="314" t="str">
        <f>IF(首頁!N4="風屬性攻擊力", IF(首頁!Q4=0, 首頁!P4, 首頁!Q4), "")</f>
        <v/>
      </c>
      <c r="G6" s="280"/>
      <c r="H6" s="315" t="str">
        <f>IF(首頁!K5="風之精靈", IF(首頁!M6="", 套裝!D8, INDEX(套裝!D8:H8, 1, 首頁!M6)), "")</f>
        <v/>
      </c>
      <c r="I6" s="280"/>
      <c r="J6" s="280"/>
      <c r="K6" s="305"/>
      <c r="L6" s="305"/>
      <c r="M6" s="305"/>
      <c r="N6" s="305"/>
      <c r="O6" s="305"/>
      <c r="P6" s="305"/>
      <c r="Q6" s="305"/>
      <c r="R6" s="305"/>
      <c r="S6" s="280"/>
      <c r="T6" s="280"/>
      <c r="U6" s="316" t="str">
        <f>IF(首頁!K5="風之精靈", 50, "")</f>
        <v/>
      </c>
      <c r="V6" s="305"/>
      <c r="W6" s="305"/>
      <c r="X6" s="305"/>
      <c r="Y6" s="305"/>
      <c r="Z6" s="305"/>
      <c r="AA6" s="305"/>
      <c r="AB6" s="305"/>
      <c r="AC6" s="305"/>
      <c r="AD6" s="305"/>
      <c r="AE6" s="305"/>
      <c r="AF6" s="305"/>
      <c r="AG6" s="305"/>
      <c r="AH6" s="305"/>
      <c r="AI6" s="305"/>
      <c r="AJ6" s="305"/>
      <c r="AK6" s="305"/>
      <c r="AL6" s="305"/>
      <c r="AM6" s="305"/>
      <c r="AN6" s="305"/>
      <c r="AO6" s="305"/>
      <c r="AP6" s="305"/>
      <c r="AQ6" s="305"/>
      <c r="AR6" s="305"/>
      <c r="AS6" s="305"/>
      <c r="AT6" s="305"/>
      <c r="AU6" s="305"/>
      <c r="AV6" s="305"/>
      <c r="AW6" s="305"/>
      <c r="AX6" s="305"/>
      <c r="AY6" s="305"/>
      <c r="AZ6" s="305"/>
      <c r="BA6" s="305"/>
      <c r="BB6" s="305"/>
      <c r="BC6" s="305"/>
      <c r="BD6" s="305"/>
      <c r="BE6" s="305"/>
      <c r="BF6" s="305"/>
      <c r="BG6" s="305"/>
      <c r="BH6" s="305"/>
      <c r="BI6" s="305"/>
      <c r="BJ6" s="305"/>
      <c r="BK6" s="305"/>
      <c r="BL6" s="305"/>
      <c r="BM6" s="305"/>
      <c r="BN6" s="305"/>
      <c r="BO6" s="280" t="s">
        <v>130</v>
      </c>
      <c r="BP6" s="317">
        <f>SUM(C6:INDEX(6:6, COLUMN(BP6)-2))</f>
        <v>0</v>
      </c>
    </row>
    <row r="7" spans="2:69" x14ac:dyDescent="0.25">
      <c r="B7" s="280" t="s">
        <v>131</v>
      </c>
      <c r="C7" s="280"/>
      <c r="D7" s="280"/>
      <c r="E7" s="314">
        <f>IF(首頁!N3="土屬性攻擊力", IF(首頁!Q3=0, 首頁!P3, 首頁!Q3), "")</f>
        <v>80</v>
      </c>
      <c r="F7" s="314" t="str">
        <f>IF(首頁!N4="土屬性攻擊力", IF(首頁!Q4=0, 首頁!P4, 首頁!Q4), "")</f>
        <v/>
      </c>
      <c r="G7" s="280"/>
      <c r="H7" s="315" t="str">
        <f>IF(首頁!K5="大地後裔", IF(首頁!M6="", 套裝!D8, INDEX(套裝!D8:H8, 1, 首頁!M6)), "")</f>
        <v/>
      </c>
      <c r="I7" s="280"/>
      <c r="J7" s="280"/>
      <c r="K7" s="305"/>
      <c r="L7" s="305"/>
      <c r="M7" s="305"/>
      <c r="N7" s="305"/>
      <c r="O7" s="305"/>
      <c r="P7" s="305"/>
      <c r="Q7" s="305"/>
      <c r="R7" s="305"/>
      <c r="S7" s="280"/>
      <c r="T7" s="280"/>
      <c r="U7" s="316" t="str">
        <f>IF(首頁!K5="大地後裔", 50, "")</f>
        <v/>
      </c>
      <c r="V7" s="305"/>
      <c r="W7" s="305"/>
      <c r="X7" s="305"/>
      <c r="Y7" s="305"/>
      <c r="Z7" s="305"/>
      <c r="AA7" s="305"/>
      <c r="AB7" s="305"/>
      <c r="AC7" s="305"/>
      <c r="AD7" s="305"/>
      <c r="AE7" s="305"/>
      <c r="AF7" s="305"/>
      <c r="AG7" s="305"/>
      <c r="AH7" s="305"/>
      <c r="AI7" s="305"/>
      <c r="AJ7" s="305"/>
      <c r="AK7" s="305"/>
      <c r="AL7" s="305"/>
      <c r="AM7" s="305"/>
      <c r="AN7" s="305"/>
      <c r="AO7" s="305"/>
      <c r="AP7" s="305"/>
      <c r="AQ7" s="305"/>
      <c r="AR7" s="305"/>
      <c r="AS7" s="305"/>
      <c r="AT7" s="305"/>
      <c r="AU7" s="305"/>
      <c r="AV7" s="305"/>
      <c r="AW7" s="305"/>
      <c r="AX7" s="305"/>
      <c r="AY7" s="305"/>
      <c r="AZ7" s="305"/>
      <c r="BA7" s="305"/>
      <c r="BB7" s="305"/>
      <c r="BC7" s="305"/>
      <c r="BD7" s="305"/>
      <c r="BE7" s="305"/>
      <c r="BF7" s="305"/>
      <c r="BG7" s="305"/>
      <c r="BH7" s="305"/>
      <c r="BI7" s="305"/>
      <c r="BJ7" s="305"/>
      <c r="BK7" s="305"/>
      <c r="BL7" s="305"/>
      <c r="BM7" s="305"/>
      <c r="BN7" s="305"/>
      <c r="BO7" s="280" t="s">
        <v>131</v>
      </c>
      <c r="BP7" s="317">
        <f>SUM(C7:INDEX(7:7, COLUMN(BP7)-2))</f>
        <v>80</v>
      </c>
    </row>
    <row r="8" spans="2:69" x14ac:dyDescent="0.25">
      <c r="B8" s="280" t="s">
        <v>132</v>
      </c>
      <c r="C8" s="280"/>
      <c r="D8" s="280"/>
      <c r="E8" s="314" t="str">
        <f>IF(首頁!N3="光屬性攻擊力", IF(首頁!Q3=0, 首頁!P3, 首頁!Q3), "")</f>
        <v/>
      </c>
      <c r="F8" s="314" t="str">
        <f>IF(首頁!N4="光屬性攻擊力", IF(首頁!Q4=0, 首頁!P4, 首頁!Q4), "")</f>
        <v/>
      </c>
      <c r="G8" s="280"/>
      <c r="H8" s="315" t="str">
        <f>IF(首頁!K5="太陽騎士", IF(首頁!M6="", 套裝!D8, INDEX(套裝!D8:H8, 1, 首頁!M6)), "")</f>
        <v/>
      </c>
      <c r="I8" s="280"/>
      <c r="J8" s="280"/>
      <c r="K8" s="305"/>
      <c r="L8" s="305"/>
      <c r="M8" s="305"/>
      <c r="N8" s="305"/>
      <c r="O8" s="305"/>
      <c r="P8" s="305"/>
      <c r="Q8" s="305"/>
      <c r="R8" s="305"/>
      <c r="S8" s="280"/>
      <c r="T8" s="280"/>
      <c r="U8" s="316" t="str">
        <f>IF(首頁!K5="太陽騎士", 50, "")</f>
        <v/>
      </c>
      <c r="V8" s="305"/>
      <c r="W8" s="305"/>
      <c r="X8" s="305"/>
      <c r="Y8" s="305"/>
      <c r="Z8" s="305"/>
      <c r="AA8" s="305"/>
      <c r="AB8" s="305"/>
      <c r="AC8" s="305"/>
      <c r="AD8" s="305"/>
      <c r="AE8" s="305"/>
      <c r="AF8" s="305"/>
      <c r="AG8" s="305"/>
      <c r="AH8" s="305"/>
      <c r="AI8" s="305"/>
      <c r="AJ8" s="305"/>
      <c r="AK8" s="305"/>
      <c r="AL8" s="305"/>
      <c r="AM8" s="305"/>
      <c r="AN8" s="305"/>
      <c r="AO8" s="305"/>
      <c r="AP8" s="305"/>
      <c r="AQ8" s="305"/>
      <c r="AR8" s="305"/>
      <c r="AS8" s="305"/>
      <c r="AT8" s="305"/>
      <c r="AU8" s="305"/>
      <c r="AV8" s="305"/>
      <c r="AW8" s="305"/>
      <c r="AX8" s="305"/>
      <c r="AY8" s="305"/>
      <c r="AZ8" s="305"/>
      <c r="BA8" s="305"/>
      <c r="BB8" s="305"/>
      <c r="BC8" s="305"/>
      <c r="BD8" s="305"/>
      <c r="BE8" s="305"/>
      <c r="BF8" s="305"/>
      <c r="BG8" s="305"/>
      <c r="BH8" s="305"/>
      <c r="BI8" s="305"/>
      <c r="BJ8" s="305"/>
      <c r="BK8" s="305"/>
      <c r="BL8" s="305"/>
      <c r="BM8" s="305"/>
      <c r="BN8" s="305"/>
      <c r="BO8" s="280" t="s">
        <v>132</v>
      </c>
      <c r="BP8" s="317">
        <f>SUM(C8:INDEX(8:8, COLUMN(BP8)-2))</f>
        <v>0</v>
      </c>
    </row>
    <row r="9" spans="2:69" x14ac:dyDescent="0.25">
      <c r="B9" s="280" t="s">
        <v>109</v>
      </c>
      <c r="C9" s="280"/>
      <c r="D9" s="280"/>
      <c r="E9" s="314" t="str">
        <f>IF(首頁!N3="暗屬性攻擊力", IF(首頁!Q3=0, 首頁!P3, 首頁!Q3), "")</f>
        <v/>
      </c>
      <c r="F9" s="314" t="str">
        <f>IF(首頁!N4="暗屬性攻擊力", IF(首頁!Q4=0, 首頁!P4, 首頁!Q4), "")</f>
        <v/>
      </c>
      <c r="G9" s="280"/>
      <c r="H9" s="315" t="str">
        <f>IF(首頁!K5="黑暗伯爵", IF(首頁!M6="", 套裝!D8, INDEX(套裝!D8:H8, 1, 首頁!M6)), "")</f>
        <v/>
      </c>
      <c r="I9" s="280"/>
      <c r="J9" s="280"/>
      <c r="K9" s="305"/>
      <c r="L9" s="305"/>
      <c r="M9" s="305"/>
      <c r="N9" s="305"/>
      <c r="O9" s="305"/>
      <c r="P9" s="329" t="str">
        <f>IF(首頁!K5="謎樣流浪者", IF(首頁!M10="", 套裝!N23, INDEX(套裝!N23:R23, 1, 首頁!M10)), "")</f>
        <v/>
      </c>
      <c r="Q9" s="305"/>
      <c r="R9" s="305"/>
      <c r="S9" s="280"/>
      <c r="T9" s="280"/>
      <c r="U9" s="316" t="str">
        <f>IF(首頁!K5="黑暗伯爵", 50, "")</f>
        <v/>
      </c>
      <c r="V9" s="305"/>
      <c r="W9" s="305"/>
      <c r="X9" s="305"/>
      <c r="Y9" s="305"/>
      <c r="Z9" s="305"/>
      <c r="AA9" s="305"/>
      <c r="AB9" s="305"/>
      <c r="AC9" s="305"/>
      <c r="AD9" s="305"/>
      <c r="AE9" s="305"/>
      <c r="AF9" s="305"/>
      <c r="AG9" s="305"/>
      <c r="AH9" s="305"/>
      <c r="AI9" s="305"/>
      <c r="AJ9" s="305"/>
      <c r="AK9" s="305"/>
      <c r="AL9" s="305"/>
      <c r="AM9" s="305"/>
      <c r="AN9" s="305"/>
      <c r="AO9" s="305"/>
      <c r="AP9" s="305"/>
      <c r="AQ9" s="305"/>
      <c r="AR9" s="305"/>
      <c r="AS9" s="305"/>
      <c r="AT9" s="305"/>
      <c r="AU9" s="305"/>
      <c r="AV9" s="305"/>
      <c r="AW9" s="305"/>
      <c r="AX9" s="305"/>
      <c r="AY9" s="305"/>
      <c r="AZ9" s="305"/>
      <c r="BA9" s="305"/>
      <c r="BB9" s="305"/>
      <c r="BC9" s="305"/>
      <c r="BD9" s="305"/>
      <c r="BE9" s="305"/>
      <c r="BF9" s="305"/>
      <c r="BG9" s="305"/>
      <c r="BH9" s="305"/>
      <c r="BI9" s="305"/>
      <c r="BJ9" s="305"/>
      <c r="BK9" s="305"/>
      <c r="BL9" s="305"/>
      <c r="BM9" s="305"/>
      <c r="BN9" s="305"/>
      <c r="BO9" s="280" t="s">
        <v>109</v>
      </c>
      <c r="BP9" s="317">
        <f>SUM(C9:INDEX(9:9, COLUMN(BP9)-2))</f>
        <v>0</v>
      </c>
    </row>
    <row r="10" spans="2:69" x14ac:dyDescent="0.25">
      <c r="B10" s="280" t="s">
        <v>233</v>
      </c>
      <c r="C10" s="280"/>
      <c r="D10" s="280"/>
      <c r="E10" s="280"/>
      <c r="F10" s="280"/>
      <c r="G10" s="280"/>
      <c r="H10" s="280"/>
      <c r="I10" s="280"/>
      <c r="J10" s="280"/>
      <c r="K10" s="305"/>
      <c r="L10" s="315">
        <f>IF(首頁!K5="時間管理局制服", IF(首頁!M8="", 套裝!I38, INDEX(套裝!I38:M38, 1, 首頁!M8)), "")</f>
        <v>120</v>
      </c>
      <c r="M10" s="305"/>
      <c r="N10" s="305"/>
      <c r="O10" s="305"/>
      <c r="P10" s="315" t="str">
        <f>IF(首頁!K5="甜蜜白糖", IF(首頁!M10="", 套裝!N11, INDEX(套裝!N11:R11, 1, 首頁!M10)), "")</f>
        <v/>
      </c>
      <c r="Q10" s="305"/>
      <c r="R10" s="305"/>
      <c r="S10" s="310">
        <f>IF(首頁!G8=TRUE, 20, "")</f>
        <v>20</v>
      </c>
      <c r="T10" s="280"/>
      <c r="U10" s="305"/>
      <c r="V10" s="305"/>
      <c r="W10" s="305"/>
      <c r="X10" s="305"/>
      <c r="Y10" s="305"/>
      <c r="Z10" s="305"/>
      <c r="AA10" s="305"/>
      <c r="AB10" s="305"/>
      <c r="AC10" s="305"/>
      <c r="AD10" s="305"/>
      <c r="AE10" s="305"/>
      <c r="AF10" s="305"/>
      <c r="AG10" s="305"/>
      <c r="AH10" s="305"/>
      <c r="AI10" s="305"/>
      <c r="AJ10" s="305"/>
      <c r="AK10" s="305"/>
      <c r="AL10" s="305"/>
      <c r="AM10" s="305"/>
      <c r="AN10" s="305"/>
      <c r="AO10" s="305"/>
      <c r="AP10" s="305"/>
      <c r="AQ10" s="305"/>
      <c r="AR10" s="305"/>
      <c r="AS10" s="305"/>
      <c r="AT10" s="305"/>
      <c r="AU10" s="305"/>
      <c r="AV10" s="305"/>
      <c r="AW10" s="305"/>
      <c r="AX10" s="305"/>
      <c r="AY10" s="305"/>
      <c r="AZ10" s="305"/>
      <c r="BA10" s="305"/>
      <c r="BB10" s="305"/>
      <c r="BC10" s="305"/>
      <c r="BD10" s="305"/>
      <c r="BE10" s="305"/>
      <c r="BF10" s="305"/>
      <c r="BG10" s="305"/>
      <c r="BH10" s="305"/>
      <c r="BI10" s="305"/>
      <c r="BJ10" s="305"/>
      <c r="BK10" s="305"/>
      <c r="BL10" s="305"/>
      <c r="BM10" s="305"/>
      <c r="BN10" s="305"/>
      <c r="BO10" s="280" t="s">
        <v>233</v>
      </c>
      <c r="BP10" s="317">
        <f>SUM(C10:INDEX(10:10, COLUMN(BP10)-2))</f>
        <v>140</v>
      </c>
    </row>
    <row r="11" spans="2:69" x14ac:dyDescent="0.25">
      <c r="B11" s="280"/>
      <c r="C11" s="280"/>
      <c r="D11" s="280"/>
      <c r="E11" s="280"/>
      <c r="F11" s="280"/>
      <c r="G11" s="280"/>
      <c r="H11" s="280"/>
      <c r="I11" s="280"/>
      <c r="J11" s="280"/>
      <c r="K11" s="305"/>
      <c r="L11" s="305"/>
      <c r="M11" s="305"/>
      <c r="N11" s="305"/>
      <c r="O11" s="305"/>
      <c r="P11" s="305" t="s">
        <v>246</v>
      </c>
      <c r="Q11" s="305"/>
      <c r="R11" s="305"/>
      <c r="S11" s="280"/>
      <c r="T11" s="280"/>
      <c r="U11" s="305"/>
      <c r="V11" s="305"/>
      <c r="W11" s="305"/>
      <c r="X11" s="305"/>
      <c r="Y11" s="305"/>
      <c r="Z11" s="305"/>
      <c r="AA11" s="305"/>
      <c r="AB11" s="305"/>
      <c r="AC11" s="305"/>
      <c r="AD11" s="305"/>
      <c r="AE11" s="305"/>
      <c r="AF11" s="305"/>
      <c r="AG11" s="305"/>
      <c r="AH11" s="305"/>
      <c r="AI11" s="305"/>
      <c r="AJ11" s="305"/>
      <c r="AK11" s="305"/>
      <c r="AL11" s="305"/>
      <c r="AM11" s="305"/>
      <c r="AN11" s="305"/>
      <c r="AO11" s="305"/>
      <c r="AP11" s="305"/>
      <c r="AQ11" s="305"/>
      <c r="AR11" s="305"/>
      <c r="AS11" s="305"/>
      <c r="AT11" s="305"/>
      <c r="AU11" s="305"/>
      <c r="AV11" s="305"/>
      <c r="AW11" s="305"/>
      <c r="AX11" s="305"/>
      <c r="AY11" s="305"/>
      <c r="AZ11" s="305"/>
      <c r="BA11" s="305"/>
      <c r="BB11" s="305"/>
      <c r="BC11" s="305"/>
      <c r="BD11" s="305"/>
      <c r="BE11" s="305"/>
      <c r="BF11" s="305"/>
      <c r="BG11" s="305"/>
      <c r="BH11" s="305"/>
      <c r="BI11" s="305"/>
      <c r="BJ11" s="305"/>
      <c r="BK11" s="305"/>
      <c r="BL11" s="305"/>
      <c r="BM11" s="305"/>
      <c r="BN11" s="305"/>
      <c r="BO11" s="280" t="s">
        <v>301</v>
      </c>
      <c r="BP11" s="318">
        <f>IF(首頁!G4="火", 計算過程!BP3+計算過程!BP4+計算過程!BP10,
IF(首頁!G4="水", 計算過程!BP3+計算過程!BP5+計算過程!BP10,
IF(首頁!G4="風", 計算過程!BP3+計算過程!BP6+計算過程!BP10,
IF(首頁!G4="土", 計算過程!BP3+計算過程!BP7+計算過程!BP10,
IF(首頁!G4="光", 計算過程!BP3+計算過程!BP8+計算過程!BP10,
IF(首頁!G4="暗", 計算過程!BP3+計算過程!BP9+計算過程!BP10, ""))))))</f>
        <v>933</v>
      </c>
      <c r="BQ11" s="319">
        <f>ROUNDDOWN(BP11*(100+BP28)%, 0)</f>
        <v>2351</v>
      </c>
    </row>
    <row r="12" spans="2:69" x14ac:dyDescent="0.25">
      <c r="B12" s="280"/>
      <c r="C12" s="280"/>
      <c r="D12" s="280"/>
      <c r="E12" s="280"/>
      <c r="F12" s="280"/>
      <c r="G12" s="280"/>
      <c r="H12" s="280"/>
      <c r="I12" s="280"/>
      <c r="J12" s="280"/>
      <c r="K12" s="305"/>
      <c r="L12" s="305"/>
      <c r="M12" s="305"/>
      <c r="N12" s="305"/>
      <c r="O12" s="305"/>
      <c r="P12" s="305"/>
      <c r="Q12" s="305"/>
      <c r="R12" s="305"/>
      <c r="S12" s="280"/>
      <c r="T12" s="280"/>
      <c r="U12" s="305"/>
      <c r="V12" s="305"/>
      <c r="W12" s="305"/>
      <c r="X12" s="305"/>
      <c r="Y12" s="305"/>
      <c r="Z12" s="305"/>
      <c r="AA12" s="305"/>
      <c r="AB12" s="305"/>
      <c r="AC12" s="305"/>
      <c r="AD12" s="305"/>
      <c r="AE12" s="305"/>
      <c r="AF12" s="305"/>
      <c r="AG12" s="305"/>
      <c r="AH12" s="305"/>
      <c r="AI12" s="305"/>
      <c r="AJ12" s="305"/>
      <c r="AK12" s="305"/>
      <c r="AL12" s="305"/>
      <c r="AM12" s="305"/>
      <c r="AN12" s="305"/>
      <c r="AO12" s="305"/>
      <c r="AP12" s="305"/>
      <c r="AQ12" s="305"/>
      <c r="AR12" s="305"/>
      <c r="AS12" s="305"/>
      <c r="AT12" s="305"/>
      <c r="AU12" s="305"/>
      <c r="AV12" s="305"/>
      <c r="AW12" s="305"/>
      <c r="AX12" s="305"/>
      <c r="AY12" s="305"/>
      <c r="AZ12" s="305"/>
      <c r="BA12" s="305"/>
      <c r="BB12" s="305"/>
      <c r="BC12" s="305"/>
      <c r="BD12" s="305"/>
      <c r="BE12" s="305"/>
      <c r="BF12" s="305"/>
      <c r="BG12" s="305"/>
      <c r="BH12" s="305"/>
      <c r="BI12" s="305"/>
      <c r="BJ12" s="305"/>
      <c r="BK12" s="305"/>
      <c r="BL12" s="305"/>
      <c r="BM12" s="305"/>
      <c r="BN12" s="305"/>
      <c r="BO12" s="280"/>
      <c r="BP12" s="280"/>
    </row>
    <row r="13" spans="2:69" x14ac:dyDescent="0.25">
      <c r="B13" s="280" t="s">
        <v>103</v>
      </c>
      <c r="C13" s="280"/>
      <c r="D13" s="280"/>
      <c r="E13" s="280"/>
      <c r="F13" s="280"/>
      <c r="G13" s="280"/>
      <c r="H13" s="280"/>
      <c r="I13" s="280"/>
      <c r="J13" s="280"/>
      <c r="K13" s="305"/>
      <c r="L13" s="305"/>
      <c r="M13" s="305"/>
      <c r="N13" s="305"/>
      <c r="O13" s="305"/>
      <c r="P13" s="305"/>
      <c r="Q13" s="305"/>
      <c r="R13" s="305"/>
      <c r="S13" s="305"/>
      <c r="T13" s="305"/>
      <c r="U13" s="305"/>
      <c r="V13" s="305"/>
      <c r="W13" s="305"/>
      <c r="X13" s="305"/>
      <c r="Y13" s="305"/>
      <c r="Z13" s="305"/>
      <c r="AA13" s="305"/>
      <c r="AB13" s="305"/>
      <c r="AC13" s="305"/>
      <c r="AD13" s="305"/>
      <c r="AE13" s="305"/>
      <c r="AF13" s="305"/>
      <c r="AG13" s="305"/>
      <c r="AH13" s="305"/>
      <c r="AI13" s="305"/>
      <c r="AJ13" s="305"/>
      <c r="AK13" s="305"/>
      <c r="AL13" s="305"/>
      <c r="AM13" s="305"/>
      <c r="AN13" s="305"/>
      <c r="AO13" s="305"/>
      <c r="AP13" s="305"/>
      <c r="AQ13" s="305"/>
      <c r="AR13" s="305"/>
      <c r="AS13" s="305"/>
      <c r="AT13" s="305"/>
      <c r="AU13" s="305"/>
      <c r="AV13" s="305"/>
      <c r="AW13" s="305"/>
      <c r="AX13" s="305"/>
      <c r="AY13" s="305"/>
      <c r="AZ13" s="305"/>
      <c r="BA13" s="305"/>
      <c r="BB13" s="305"/>
      <c r="BC13" s="305"/>
      <c r="BD13" s="305"/>
      <c r="BE13" s="305"/>
      <c r="BF13" s="305"/>
      <c r="BG13" s="305"/>
      <c r="BH13" s="305"/>
      <c r="BI13" s="305"/>
      <c r="BJ13" s="305"/>
      <c r="BK13" s="305"/>
      <c r="BL13" s="305"/>
      <c r="BM13" s="305"/>
      <c r="BN13" s="305"/>
      <c r="BO13" s="280" t="s">
        <v>103</v>
      </c>
      <c r="BP13" s="280"/>
    </row>
    <row r="14" spans="2:69" x14ac:dyDescent="0.25">
      <c r="B14" s="280"/>
      <c r="C14" s="280"/>
      <c r="D14" s="280"/>
      <c r="E14" s="280"/>
      <c r="F14" s="280"/>
      <c r="G14" s="280"/>
      <c r="H14" s="280"/>
      <c r="I14" s="280"/>
      <c r="J14" s="280"/>
      <c r="K14" s="280"/>
      <c r="L14" s="280"/>
      <c r="M14" s="280"/>
      <c r="N14" s="280"/>
      <c r="O14" s="280"/>
      <c r="P14" s="280"/>
      <c r="Q14" s="305"/>
      <c r="R14" s="305"/>
      <c r="S14" s="305"/>
      <c r="T14" s="305"/>
      <c r="U14" s="305"/>
      <c r="V14" s="305"/>
      <c r="W14" s="305"/>
      <c r="X14" s="305"/>
      <c r="Y14" s="305"/>
      <c r="Z14" s="305"/>
      <c r="AA14" s="305"/>
      <c r="AB14" s="305"/>
      <c r="AC14" s="305"/>
      <c r="AD14" s="305"/>
      <c r="AE14" s="305"/>
      <c r="AF14" s="305"/>
      <c r="AG14" s="305"/>
      <c r="AH14" s="305"/>
      <c r="AI14" s="305"/>
      <c r="AJ14" s="305"/>
      <c r="AK14" s="305"/>
      <c r="AL14" s="305"/>
      <c r="AM14" s="305"/>
      <c r="AN14" s="305"/>
      <c r="AO14" s="305"/>
      <c r="AP14" s="305"/>
      <c r="AQ14" s="305"/>
      <c r="AR14" s="305"/>
      <c r="AS14" s="305"/>
      <c r="AT14" s="305"/>
      <c r="AU14" s="305"/>
      <c r="AV14" s="305"/>
      <c r="AW14" s="305"/>
      <c r="AX14" s="305"/>
      <c r="AY14" s="305"/>
      <c r="AZ14" s="305"/>
      <c r="BA14" s="305"/>
      <c r="BB14" s="305"/>
      <c r="BC14" s="305"/>
      <c r="BD14" s="305"/>
      <c r="BE14" s="305"/>
      <c r="BF14" s="305"/>
      <c r="BG14" s="305"/>
      <c r="BH14" s="305"/>
      <c r="BI14" s="305"/>
      <c r="BJ14" s="305"/>
      <c r="BK14" s="305"/>
      <c r="BL14" s="305"/>
      <c r="BM14" s="305"/>
      <c r="BN14" s="305"/>
      <c r="BO14" s="280"/>
      <c r="BP14" s="280"/>
    </row>
    <row r="15" spans="2:69" x14ac:dyDescent="0.25">
      <c r="B15" s="280" t="s">
        <v>249</v>
      </c>
      <c r="C15" s="280"/>
      <c r="D15" s="280"/>
      <c r="E15" s="280"/>
      <c r="F15" s="280"/>
      <c r="G15" s="280"/>
      <c r="H15" s="280"/>
      <c r="I15" s="314" t="str">
        <f>IF(首頁!N6="火屬性傷害", IF(首頁!Q6=0, 首頁!P6, 首頁!Q6), "")</f>
        <v/>
      </c>
      <c r="J15" s="314" t="str">
        <f>IF(首頁!N7="火屬性傷害", IF(首頁!Q7=0, 首頁!P7, 首頁!Q7), "")</f>
        <v/>
      </c>
      <c r="K15" s="280"/>
      <c r="L15" s="315" t="str">
        <f>IF(首頁!K5="火怪", IF(首頁!M8="", 套裝!I8, INDEX(套裝!I8:M8, 1, 首頁!M8)), "")</f>
        <v/>
      </c>
      <c r="M15" s="280"/>
      <c r="N15" s="280"/>
      <c r="O15" s="280"/>
      <c r="P15" s="315" t="str">
        <f>IF(首頁!K5="火怪", IF(首頁!M10="", 套裝!N8, INDEX(套裝!N8:R8, 1, 首頁!M10)), "")</f>
        <v/>
      </c>
      <c r="Q15" s="305"/>
      <c r="R15" s="305"/>
      <c r="S15" s="305"/>
      <c r="T15" s="316" t="str">
        <f>IF(首頁!K5="火怪", 20, "")</f>
        <v/>
      </c>
      <c r="U15" s="305"/>
      <c r="V15" s="305"/>
      <c r="W15" s="305"/>
      <c r="X15" s="305"/>
      <c r="Y15" s="305"/>
      <c r="Z15" s="305"/>
      <c r="AA15" s="305"/>
      <c r="AB15" s="305"/>
      <c r="AC15" s="305"/>
      <c r="AD15" s="305"/>
      <c r="AE15" s="305"/>
      <c r="AF15" s="305"/>
      <c r="AG15" s="305"/>
      <c r="AH15" s="305"/>
      <c r="AI15" s="305"/>
      <c r="AJ15" s="305"/>
      <c r="AK15" s="305"/>
      <c r="AL15" s="305"/>
      <c r="AM15" s="305"/>
      <c r="AN15" s="305"/>
      <c r="AO15" s="305"/>
      <c r="AP15" s="305"/>
      <c r="AQ15" s="305"/>
      <c r="AR15" s="305"/>
      <c r="AS15" s="305"/>
      <c r="AT15" s="305"/>
      <c r="AU15" s="305"/>
      <c r="AV15" s="305"/>
      <c r="AW15" s="305"/>
      <c r="AX15" s="305"/>
      <c r="AY15" s="305"/>
      <c r="AZ15" s="305"/>
      <c r="BA15" s="305"/>
      <c r="BB15" s="305"/>
      <c r="BC15" s="305"/>
      <c r="BD15" s="305"/>
      <c r="BE15" s="305"/>
      <c r="BF15" s="305"/>
      <c r="BG15" s="305"/>
      <c r="BH15" s="305"/>
      <c r="BI15" s="305"/>
      <c r="BJ15" s="305"/>
      <c r="BK15" s="305"/>
      <c r="BL15" s="305"/>
      <c r="BM15" s="305"/>
      <c r="BN15" s="320" t="str">
        <f>IF(首頁!D3="麻辣", 22.5, "")</f>
        <v/>
      </c>
      <c r="BO15" s="280" t="s">
        <v>294</v>
      </c>
      <c r="BP15" s="317">
        <f>SUM(C15:INDEX(15:15, COLUMN(BP15)-2))</f>
        <v>0</v>
      </c>
    </row>
    <row r="16" spans="2:69" x14ac:dyDescent="0.25">
      <c r="B16" s="280" t="s">
        <v>251</v>
      </c>
      <c r="C16" s="280"/>
      <c r="D16" s="280"/>
      <c r="E16" s="280"/>
      <c r="F16" s="280"/>
      <c r="G16" s="280"/>
      <c r="H16" s="280"/>
      <c r="I16" s="314" t="str">
        <f>IF(首頁!N6="水屬性傷害", IF(首頁!Q6=0, 首頁!P6, 首頁!Q6), "")</f>
        <v/>
      </c>
      <c r="J16" s="314" t="str">
        <f>IF(首頁!N7="水屬性傷害", IF(首頁!Q7=0, 首頁!P7, 首頁!Q7), "")</f>
        <v/>
      </c>
      <c r="K16" s="280"/>
      <c r="L16" s="315" t="str">
        <f>IF(首頁!K5="美人魚", IF(首頁!M8="", 套裝!I8, INDEX(套裝!I8:M8, 1, 首頁!M8)), "")</f>
        <v/>
      </c>
      <c r="M16" s="280"/>
      <c r="N16" s="280"/>
      <c r="O16" s="280"/>
      <c r="P16" s="315" t="str">
        <f>IF(首頁!K5="美人魚", IF(首頁!M10="", 套裝!N8, INDEX(套裝!N8:R8, 1, 首頁!M10)), "")</f>
        <v/>
      </c>
      <c r="Q16" s="305"/>
      <c r="R16" s="305"/>
      <c r="S16" s="280"/>
      <c r="T16" s="316" t="str">
        <f>IF(首頁!K5="美人魚", 20, "")</f>
        <v/>
      </c>
      <c r="U16" s="305"/>
      <c r="V16" s="305"/>
      <c r="W16" s="305"/>
      <c r="X16" s="305"/>
      <c r="Y16" s="305"/>
      <c r="Z16" s="305"/>
      <c r="AA16" s="305"/>
      <c r="AB16" s="305"/>
      <c r="AC16" s="305"/>
      <c r="AD16" s="305"/>
      <c r="AE16" s="305"/>
      <c r="AF16" s="305"/>
      <c r="AG16" s="305"/>
      <c r="AH16" s="305"/>
      <c r="AI16" s="305"/>
      <c r="AJ16" s="305"/>
      <c r="AK16" s="305"/>
      <c r="AL16" s="305"/>
      <c r="AM16" s="305"/>
      <c r="AN16" s="305"/>
      <c r="AO16" s="305"/>
      <c r="AP16" s="305"/>
      <c r="AQ16" s="305"/>
      <c r="AR16" s="305"/>
      <c r="AS16" s="305"/>
      <c r="AT16" s="305"/>
      <c r="AU16" s="305"/>
      <c r="AV16" s="305"/>
      <c r="AW16" s="305"/>
      <c r="AX16" s="305"/>
      <c r="AY16" s="305"/>
      <c r="AZ16" s="305"/>
      <c r="BA16" s="305"/>
      <c r="BB16" s="305"/>
      <c r="BC16" s="305"/>
      <c r="BD16" s="305"/>
      <c r="BE16" s="305"/>
      <c r="BF16" s="305"/>
      <c r="BG16" s="305"/>
      <c r="BH16" s="305"/>
      <c r="BI16" s="305"/>
      <c r="BJ16" s="305"/>
      <c r="BK16" s="305"/>
      <c r="BL16" s="305"/>
      <c r="BM16" s="305"/>
      <c r="BN16" s="320" t="str">
        <f>IF(首頁!D3="泡泡糖", 22.5, "")</f>
        <v/>
      </c>
      <c r="BO16" s="280" t="s">
        <v>295</v>
      </c>
      <c r="BP16" s="317">
        <f>SUM(C16:INDEX(16:16, COLUMN(BP16)-2))</f>
        <v>0</v>
      </c>
    </row>
    <row r="17" spans="2:68" x14ac:dyDescent="0.25">
      <c r="B17" s="280" t="s">
        <v>252</v>
      </c>
      <c r="C17" s="280"/>
      <c r="D17" s="280"/>
      <c r="E17" s="280"/>
      <c r="F17" s="280"/>
      <c r="G17" s="280"/>
      <c r="H17" s="280"/>
      <c r="I17" s="314" t="str">
        <f>IF(首頁!N6="風屬性傷害", IF(首頁!Q6=0, 首頁!P6, 首頁!Q6), "")</f>
        <v/>
      </c>
      <c r="J17" s="314" t="str">
        <f>IF(首頁!N7="風屬性傷害", IF(首頁!Q7=0, 首頁!P7, 首頁!Q7), "")</f>
        <v/>
      </c>
      <c r="K17" s="280"/>
      <c r="L17" s="315" t="str">
        <f>IF(首頁!K5="風之精靈", IF(首頁!M8="", 套裝!I8, INDEX(套裝!I8:M8, 1, 首頁!M8)), "")</f>
        <v/>
      </c>
      <c r="M17" s="280"/>
      <c r="N17" s="280"/>
      <c r="O17" s="280"/>
      <c r="P17" s="315" t="str">
        <f>IF(首頁!K5="風之精靈", IF(首頁!M10="", 套裝!N8, INDEX(套裝!N8:R8, 1, 首頁!M10)), "")</f>
        <v/>
      </c>
      <c r="Q17" s="305"/>
      <c r="R17" s="305"/>
      <c r="S17" s="280"/>
      <c r="T17" s="316" t="str">
        <f>IF(首頁!K5="風之精靈", 20, "")</f>
        <v/>
      </c>
      <c r="U17" s="305"/>
      <c r="V17" s="305"/>
      <c r="W17" s="305"/>
      <c r="X17" s="305"/>
      <c r="Y17" s="305"/>
      <c r="Z17" s="305"/>
      <c r="AA17" s="305"/>
      <c r="AB17" s="305"/>
      <c r="AC17" s="305"/>
      <c r="AD17" s="305"/>
      <c r="AE17" s="305"/>
      <c r="AF17" s="305"/>
      <c r="AG17" s="305"/>
      <c r="AH17" s="305"/>
      <c r="AI17" s="305"/>
      <c r="AJ17" s="305"/>
      <c r="AK17" s="305"/>
      <c r="AL17" s="305"/>
      <c r="AM17" s="305"/>
      <c r="AN17" s="305"/>
      <c r="AO17" s="305"/>
      <c r="AP17" s="305"/>
      <c r="AQ17" s="305"/>
      <c r="AR17" s="305"/>
      <c r="AS17" s="305"/>
      <c r="AT17" s="305"/>
      <c r="AU17" s="305"/>
      <c r="AV17" s="305"/>
      <c r="AW17" s="305"/>
      <c r="AX17" s="305"/>
      <c r="AY17" s="305"/>
      <c r="AZ17" s="305"/>
      <c r="BA17" s="305"/>
      <c r="BB17" s="305"/>
      <c r="BC17" s="305"/>
      <c r="BD17" s="305"/>
      <c r="BE17" s="305"/>
      <c r="BF17" s="305"/>
      <c r="BG17" s="305"/>
      <c r="BH17" s="305"/>
      <c r="BI17" s="305"/>
      <c r="BJ17" s="305"/>
      <c r="BK17" s="305"/>
      <c r="BL17" s="305"/>
      <c r="BM17" s="305"/>
      <c r="BN17" s="320" t="str">
        <f>IF(首頁!D3="大蕉", 22.5, "")</f>
        <v/>
      </c>
      <c r="BO17" s="280" t="s">
        <v>296</v>
      </c>
      <c r="BP17" s="317">
        <f>SUM(C17:INDEX(17:17, COLUMN(BP17)-2))</f>
        <v>0</v>
      </c>
    </row>
    <row r="18" spans="2:68" x14ac:dyDescent="0.25">
      <c r="B18" s="280" t="s">
        <v>253</v>
      </c>
      <c r="C18" s="280"/>
      <c r="D18" s="280"/>
      <c r="E18" s="280"/>
      <c r="F18" s="280"/>
      <c r="G18" s="280"/>
      <c r="H18" s="280"/>
      <c r="I18" s="314" t="str">
        <f>IF(首頁!N6="土屬性傷害", IF(首頁!Q6=0, 首頁!P6, 首頁!Q6), "")</f>
        <v/>
      </c>
      <c r="J18" s="314" t="str">
        <f>IF(首頁!N7="土屬性傷害", IF(首頁!Q7=0, 首頁!P7, 首頁!Q7), "")</f>
        <v/>
      </c>
      <c r="K18" s="280"/>
      <c r="L18" s="315" t="str">
        <f>IF(首頁!K5="大地後裔", IF(首頁!M8="", 套裝!I8, INDEX(套裝!I8:M8, 1, 首頁!M8)), "")</f>
        <v/>
      </c>
      <c r="M18" s="280"/>
      <c r="N18" s="280"/>
      <c r="O18" s="280"/>
      <c r="P18" s="315" t="str">
        <f>IF(首頁!K5="大地後裔", IF(首頁!M10="", 套裝!N8, INDEX(套裝!N8:R8, 1, 首頁!M10)), "")</f>
        <v/>
      </c>
      <c r="Q18" s="305"/>
      <c r="R18" s="305"/>
      <c r="S18" s="280"/>
      <c r="T18" s="316" t="str">
        <f>IF(首頁!K5="大地後裔", 20, "")</f>
        <v/>
      </c>
      <c r="U18" s="305"/>
      <c r="V18" s="305"/>
      <c r="W18" s="305"/>
      <c r="X18" s="305"/>
      <c r="Y18" s="305"/>
      <c r="Z18" s="305"/>
      <c r="AA18" s="305"/>
      <c r="AB18" s="305"/>
      <c r="AC18" s="305"/>
      <c r="AD18" s="305"/>
      <c r="AE18" s="305"/>
      <c r="AF18" s="305"/>
      <c r="AG18" s="305"/>
      <c r="AH18" s="305"/>
      <c r="AI18" s="305"/>
      <c r="AJ18" s="305"/>
      <c r="AK18" s="305"/>
      <c r="AL18" s="305"/>
      <c r="AM18" s="305"/>
      <c r="AN18" s="305"/>
      <c r="AO18" s="305"/>
      <c r="AP18" s="305"/>
      <c r="AQ18" s="305"/>
      <c r="AR18" s="305"/>
      <c r="AS18" s="305"/>
      <c r="AT18" s="305"/>
      <c r="AU18" s="305"/>
      <c r="AV18" s="305"/>
      <c r="AW18" s="305"/>
      <c r="AX18" s="305"/>
      <c r="AY18" s="305"/>
      <c r="AZ18" s="305"/>
      <c r="BA18" s="305"/>
      <c r="BB18" s="305"/>
      <c r="BC18" s="305"/>
      <c r="BD18" s="305"/>
      <c r="BE18" s="305"/>
      <c r="BF18" s="305"/>
      <c r="BG18" s="305"/>
      <c r="BH18" s="305"/>
      <c r="BI18" s="305"/>
      <c r="BJ18" s="305"/>
      <c r="BK18" s="305"/>
      <c r="BL18" s="305"/>
      <c r="BM18" s="305"/>
      <c r="BN18" s="320" t="str">
        <f>IF(OR(首頁!D3="麻花捲", 首頁!D3="尖刺榴槤"), 22.5, "")</f>
        <v/>
      </c>
      <c r="BO18" s="280" t="s">
        <v>297</v>
      </c>
      <c r="BP18" s="317">
        <f>SUM(C18:INDEX(18:18, COLUMN(BP18)-2))</f>
        <v>0</v>
      </c>
    </row>
    <row r="19" spans="2:68" x14ac:dyDescent="0.25">
      <c r="B19" s="280" t="s">
        <v>254</v>
      </c>
      <c r="C19" s="280"/>
      <c r="D19" s="280"/>
      <c r="E19" s="280"/>
      <c r="F19" s="280"/>
      <c r="G19" s="280"/>
      <c r="H19" s="280"/>
      <c r="I19" s="314" t="str">
        <f>IF(首頁!N6="光屬性傷害", IF(首頁!Q6=0, 首頁!P6, 首頁!Q6), "")</f>
        <v/>
      </c>
      <c r="J19" s="314" t="str">
        <f>IF(首頁!N7="光屬性傷害", IF(首頁!Q7=0, 首頁!P7, 首頁!Q7), "")</f>
        <v/>
      </c>
      <c r="K19" s="280"/>
      <c r="L19" s="315" t="str">
        <f>IF(首頁!K5="太陽騎士", IF(首頁!M8="", 套裝!I8, INDEX(套裝!I8:M8, 1, 首頁!M8)), "")</f>
        <v/>
      </c>
      <c r="M19" s="280"/>
      <c r="N19" s="280"/>
      <c r="O19" s="280"/>
      <c r="P19" s="315" t="str">
        <f>IF(首頁!K5="太陽騎士", IF(首頁!M10="", 套裝!N8, INDEX(套裝!N8:R8, 1, 首頁!M10)), "")</f>
        <v/>
      </c>
      <c r="Q19" s="305"/>
      <c r="R19" s="305"/>
      <c r="S19" s="280"/>
      <c r="T19" s="316" t="str">
        <f>IF(首頁!K5="太陽騎士", 20, "")</f>
        <v/>
      </c>
      <c r="U19" s="305"/>
      <c r="V19" s="305"/>
      <c r="W19" s="305"/>
      <c r="X19" s="305"/>
      <c r="Y19" s="305"/>
      <c r="Z19" s="305"/>
      <c r="AA19" s="305"/>
      <c r="AB19" s="305"/>
      <c r="AC19" s="305"/>
      <c r="AD19" s="305"/>
      <c r="AE19" s="305"/>
      <c r="AF19" s="305"/>
      <c r="AG19" s="305"/>
      <c r="AH19" s="305"/>
      <c r="AI19" s="305"/>
      <c r="AJ19" s="305"/>
      <c r="AK19" s="305"/>
      <c r="AL19" s="305"/>
      <c r="AM19" s="305"/>
      <c r="AN19" s="305"/>
      <c r="AO19" s="305"/>
      <c r="AP19" s="305"/>
      <c r="AQ19" s="305"/>
      <c r="AR19" s="305"/>
      <c r="AS19" s="305"/>
      <c r="AT19" s="305"/>
      <c r="AU19" s="305"/>
      <c r="AV19" s="305"/>
      <c r="AW19" s="305"/>
      <c r="AX19" s="305"/>
      <c r="AY19" s="305"/>
      <c r="AZ19" s="305"/>
      <c r="BA19" s="305"/>
      <c r="BB19" s="305"/>
      <c r="BC19" s="305"/>
      <c r="BD19" s="321" t="str">
        <f>IF(首頁!G34=TRUE, IF(首頁!M18="", 15*(100+85)%, 15*(100+首頁!M18)%), "")</f>
        <v/>
      </c>
      <c r="BE19" s="305"/>
      <c r="BF19" s="305"/>
      <c r="BG19" s="305"/>
      <c r="BH19" s="305"/>
      <c r="BI19" s="305"/>
      <c r="BJ19" s="305"/>
      <c r="BK19" s="350" t="str">
        <f>IF(AND(首頁!D3="檸檬皮", 首頁!D4&gt;=4), 24, "")</f>
        <v/>
      </c>
      <c r="BL19" s="305"/>
      <c r="BM19" s="305"/>
      <c r="BN19" s="320" t="str">
        <f>IF(首頁!D3="魔法師", 22.5, "")</f>
        <v/>
      </c>
      <c r="BO19" s="280" t="s">
        <v>298</v>
      </c>
      <c r="BP19" s="317">
        <f>SUM(C19:INDEX(19:19, COLUMN(BP19)-2))</f>
        <v>0</v>
      </c>
    </row>
    <row r="20" spans="2:68" x14ac:dyDescent="0.25">
      <c r="B20" s="280" t="s">
        <v>108</v>
      </c>
      <c r="C20" s="280"/>
      <c r="D20" s="280"/>
      <c r="E20" s="280"/>
      <c r="F20" s="280"/>
      <c r="G20" s="280"/>
      <c r="H20" s="280"/>
      <c r="I20" s="314" t="str">
        <f>IF(首頁!N6="暗屬性傷害", IF(首頁!Q6=0, 首頁!P6, 首頁!Q6), "")</f>
        <v/>
      </c>
      <c r="J20" s="314" t="str">
        <f>IF(首頁!N7="暗屬性傷害", IF(首頁!Q7=0, 首頁!P7, 首頁!Q7), "")</f>
        <v/>
      </c>
      <c r="K20" s="280"/>
      <c r="L20" s="315" t="str">
        <f>IF(OR(首頁!K5="黑暗伯爵", 首頁!K5="謎樣流浪者"), IF(首頁!M8="", 套裝!I8, INDEX(套裝!I8:M8, 1, 首頁!M8)), "")</f>
        <v/>
      </c>
      <c r="M20" s="280"/>
      <c r="N20" s="280"/>
      <c r="O20" s="280"/>
      <c r="P20" s="315" t="str">
        <f>IF(首頁!K5="黑暗伯爵", IF(首頁!M10="", 套裝!N8, INDEX(套裝!N8:R8, 1, 首頁!M10)), "")</f>
        <v/>
      </c>
      <c r="Q20" s="305"/>
      <c r="R20" s="305"/>
      <c r="S20" s="280"/>
      <c r="T20" s="316" t="str">
        <f>IF(OR(首頁!K5="黑暗伯爵", 首頁!K5="璀璨流星雨"), 20, "")</f>
        <v/>
      </c>
      <c r="U20" s="305"/>
      <c r="V20" s="305"/>
      <c r="W20" s="305"/>
      <c r="X20" s="305"/>
      <c r="Y20" s="305"/>
      <c r="Z20" s="305"/>
      <c r="AA20" s="305"/>
      <c r="AB20" s="305"/>
      <c r="AC20" s="305"/>
      <c r="AD20" s="305"/>
      <c r="AE20" s="305"/>
      <c r="AF20" s="305"/>
      <c r="AG20" s="305"/>
      <c r="AH20" s="305"/>
      <c r="AI20" s="305"/>
      <c r="AJ20" s="305"/>
      <c r="AK20" s="305"/>
      <c r="AL20" s="305"/>
      <c r="AM20" s="305"/>
      <c r="AN20" s="305"/>
      <c r="AO20" s="305"/>
      <c r="AP20" s="305"/>
      <c r="AQ20" s="305"/>
      <c r="AR20" s="305"/>
      <c r="AS20" s="305"/>
      <c r="AT20" s="305"/>
      <c r="AU20" s="305"/>
      <c r="AV20" s="305"/>
      <c r="AW20" s="305"/>
      <c r="AX20" s="305"/>
      <c r="AY20" s="305"/>
      <c r="AZ20" s="305"/>
      <c r="BA20" s="305"/>
      <c r="BB20" s="321" t="str">
        <f>IF(首頁!G27=TRUE, 20, "")</f>
        <v/>
      </c>
      <c r="BC20" s="280"/>
      <c r="BD20" s="280"/>
      <c r="BE20" s="280"/>
      <c r="BF20" s="280"/>
      <c r="BG20" s="280"/>
      <c r="BH20" s="305"/>
      <c r="BI20" s="305"/>
      <c r="BJ20" s="305"/>
      <c r="BK20" s="305"/>
      <c r="BL20" s="305"/>
      <c r="BM20" s="305"/>
      <c r="BN20" s="305"/>
      <c r="BO20" s="280" t="s">
        <v>299</v>
      </c>
      <c r="BP20" s="317">
        <f>SUM(C20:INDEX(20:20, COLUMN(BP20)-2))</f>
        <v>0</v>
      </c>
    </row>
    <row r="21" spans="2:68" x14ac:dyDescent="0.25">
      <c r="B21" s="280" t="s">
        <v>250</v>
      </c>
      <c r="C21" s="280"/>
      <c r="D21" s="315" t="str">
        <f>IF(AND(首頁!G7=FALSE,首頁!L4="月桂香弓"),IF(首頁!M3="",武器!J5,INDEX(武器!J5:N5,1,首頁!M3)), "")</f>
        <v/>
      </c>
      <c r="E21" s="280"/>
      <c r="F21" s="280"/>
      <c r="G21" s="322">
        <f>IF(首頁!M6="", 套裝!D4, INDEX(套裝!D4:H4, 1, 首頁!M6))</f>
        <v>31.2</v>
      </c>
      <c r="H21" s="280"/>
      <c r="I21" s="280"/>
      <c r="J21" s="280"/>
      <c r="K21" s="280"/>
      <c r="L21" s="280"/>
      <c r="M21" s="280"/>
      <c r="N21" s="280"/>
      <c r="O21" s="280"/>
      <c r="P21" s="315">
        <f>IF(首頁!K5="時間管理局制服", IF(首頁!M10="", 套裝!N38, INDEX(套裝!N38:R38, 1, 首頁!M10)), "")</f>
        <v>22.5</v>
      </c>
      <c r="Q21" s="305"/>
      <c r="R21" s="305"/>
      <c r="S21" s="310">
        <f>IF(首頁!G8=TRUE, 30, "")</f>
        <v>30</v>
      </c>
      <c r="T21" s="316" t="str">
        <f>IF(首頁!K5="甜蜜白糖", 20, "")</f>
        <v/>
      </c>
      <c r="U21" s="305"/>
      <c r="V21" s="305"/>
      <c r="W21" s="305"/>
      <c r="X21" s="323" t="str">
        <f>IF(首頁!D5="快樂巡邏時間", IF(首頁!D6="", 法寶卡!J8, INDEX(法寶卡!F8:J8, 1, 首頁!D6)), "")</f>
        <v/>
      </c>
      <c r="Y21" s="280"/>
      <c r="Z21" s="323">
        <f>IF(首頁!D5="黃昏追擊戰", IF(首頁!D6="", 法寶卡!J11, INDEX(法寶卡!F11:J11, 1, 首頁!D6)), 0) * IF(首頁!D8="", 首頁!D7, 首頁!D8)</f>
        <v>0</v>
      </c>
      <c r="AA21" s="323">
        <f>IF(首頁!D5="被喚醒的回憶", IF(首頁!D6="", 法寶卡!J12, INDEX(法寶卡!F12:J12, 1, 首頁!D6)), 0) * IF(首頁!D8="", 首頁!D7, 首頁!D8)</f>
        <v>0</v>
      </c>
      <c r="AB21" s="305"/>
      <c r="AC21" s="323">
        <f>IF(AND(首頁!D5="努力的成果", OR(首頁!D7=首頁!D8, 首頁!D8="")), IF(首頁!D6="", 法寶卡!J17, INDEX(法寶卡!F17:J17, 1, 首頁!D6)), 0)</f>
        <v>0</v>
      </c>
      <c r="AD21" s="305"/>
      <c r="AE21" s="305"/>
      <c r="AF21" s="323" t="str">
        <f>IF(首頁!D5="頭好壯壯吃飽飽", IF(首頁!G14=TRUE, IF(首頁!D6="", 法寶卡!J22, INDEX(法寶卡!F22:J22, 1, 首頁!D6)),  ""), "")</f>
        <v/>
      </c>
      <c r="AG21" s="323" t="str">
        <f>IF(首頁!D5="嗜辣一族", IF(首頁!G11=TRUE, IF(首頁!D6="", 法寶卡!J24, INDEX(法寶卡!F24:J24, 1, 首頁!D6)),  ""), "")</f>
        <v/>
      </c>
      <c r="AH21" s="305"/>
      <c r="AI21" s="305"/>
      <c r="AJ21" s="323" t="str">
        <f>IF(首頁!D5="光的另一端", IF(首頁!D6="", 法寶卡!J31, INDEX(法寶卡!F31:J31, 1, 首頁!D6)), "")</f>
        <v/>
      </c>
      <c r="AK21" s="323" t="str">
        <f>IF(首頁!D5="狂熱狙擊", IF(首頁!D6="", 法寶卡!J33, INDEX(法寶卡!F33:J33, 1, 首頁!D6)), "")</f>
        <v/>
      </c>
      <c r="AL21" s="323">
        <f>IF(首頁!D5="特製料理", IF(首頁!D6="", 法寶卡!J35, INDEX(法寶卡!F35:J35, 1, 首頁!D6)), 0) * IF(首頁!D8="", 首頁!D7, 首頁!D8)</f>
        <v>0</v>
      </c>
      <c r="AM21" s="280"/>
      <c r="AN21" s="323">
        <f>IF(首頁!D5="覺醒的瞬間", IF(首頁!D6="", 法寶卡!J38, INDEX(法寶卡!F38:J38, 1, 首頁!D6)), 0) * IF(首頁!D8="", 首頁!D7, 首頁!D8)</f>
        <v>0</v>
      </c>
      <c r="AO21" s="280"/>
      <c r="AP21" s="305"/>
      <c r="AQ21" s="305"/>
      <c r="AR21" s="305"/>
      <c r="AS21" s="305"/>
      <c r="AT21" s="323">
        <f>IF(首頁!D5="聖杯的誓言", IF(首頁!D6="", 法寶卡!J47, INDEX(法寶卡!F47:J47, 1, 首頁!D6)), 0) * IF(首頁!D8="", 首頁!D7, 首頁!D8)</f>
        <v>0</v>
      </c>
      <c r="AU21" s="305"/>
      <c r="AV21" s="305"/>
      <c r="AW21" s="305"/>
      <c r="AX21" s="305"/>
      <c r="AY21" s="305"/>
      <c r="AZ21" s="305"/>
      <c r="BA21" s="305"/>
      <c r="BB21" s="305"/>
      <c r="BC21" s="321" t="str">
        <f>IF(首頁!G29=TRUE, 20, "")</f>
        <v/>
      </c>
      <c r="BD21" s="280"/>
      <c r="BE21" s="280"/>
      <c r="BF21" s="280"/>
      <c r="BG21" s="280"/>
      <c r="BH21" s="305"/>
      <c r="BI21" s="305"/>
      <c r="BJ21" s="305"/>
      <c r="BK21" s="305"/>
      <c r="BL21" s="305"/>
      <c r="BM21" s="305"/>
      <c r="BN21" s="305"/>
      <c r="BO21" s="280" t="s">
        <v>300</v>
      </c>
      <c r="BP21" s="317">
        <f>SUM(C21:INDEX(21:21, COLUMN(BP21)-2))</f>
        <v>83.7</v>
      </c>
    </row>
    <row r="22" spans="2:68" x14ac:dyDescent="0.25">
      <c r="B22" s="280"/>
      <c r="C22" s="280"/>
      <c r="D22" s="280"/>
      <c r="E22" s="280"/>
      <c r="F22" s="280"/>
      <c r="G22" s="280"/>
      <c r="H22" s="280"/>
      <c r="I22" s="280"/>
      <c r="J22" s="280"/>
      <c r="K22" s="280"/>
      <c r="L22" s="280"/>
      <c r="M22" s="280"/>
      <c r="N22" s="280"/>
      <c r="O22" s="280"/>
      <c r="P22" s="280"/>
      <c r="Q22" s="305"/>
      <c r="R22" s="305"/>
      <c r="S22" s="280"/>
      <c r="T22" s="280"/>
      <c r="U22" s="305"/>
      <c r="V22" s="305"/>
      <c r="W22" s="305"/>
      <c r="X22" s="280"/>
      <c r="Y22" s="280"/>
      <c r="Z22" s="280"/>
      <c r="AA22" s="305"/>
      <c r="AB22" s="305"/>
      <c r="AC22" s="305"/>
      <c r="AD22" s="305"/>
      <c r="AE22" s="305"/>
      <c r="AF22" s="305"/>
      <c r="AG22" s="305"/>
      <c r="AH22" s="305"/>
      <c r="AI22" s="305"/>
      <c r="AJ22" s="305"/>
      <c r="AK22" s="305"/>
      <c r="AL22" s="305"/>
      <c r="AM22" s="305"/>
      <c r="AN22" s="305"/>
      <c r="AO22" s="305"/>
      <c r="AP22" s="305"/>
      <c r="AQ22" s="305"/>
      <c r="AR22" s="305"/>
      <c r="AS22" s="305"/>
      <c r="AT22" s="305"/>
      <c r="AU22" s="305"/>
      <c r="AV22" s="305"/>
      <c r="AW22" s="305"/>
      <c r="AX22" s="305"/>
      <c r="AY22" s="305"/>
      <c r="AZ22" s="305"/>
      <c r="BA22" s="305"/>
      <c r="BB22" s="305"/>
      <c r="BC22" s="305"/>
      <c r="BD22" s="305"/>
      <c r="BE22" s="305"/>
      <c r="BF22" s="305"/>
      <c r="BG22" s="305"/>
      <c r="BH22" s="305"/>
      <c r="BI22" s="305"/>
      <c r="BJ22" s="305"/>
      <c r="BK22" s="305"/>
      <c r="BL22" s="305"/>
      <c r="BM22" s="305"/>
      <c r="BN22" s="305"/>
      <c r="BO22" s="280" t="s">
        <v>518</v>
      </c>
      <c r="BP22" s="324">
        <f>IF(首頁!G4="火", 計算過程!BP15+計算過程!BP21,
IF(首頁!G4="水", 計算過程!BP16+計算過程!BP21,
IF(首頁!G4="風", 計算過程!BP17+計算過程!BP21,
IF(首頁!G4="土", 計算過程!BP18+計算過程!BP21,
IF(首頁!G4="光", 計算過程!BP19+計算過程!BP21,
IF(首頁!G4="暗", 計算過程!BP20+計算過程!BP21, ""))))))</f>
        <v>83.7</v>
      </c>
    </row>
    <row r="23" spans="2:68" x14ac:dyDescent="0.25">
      <c r="B23" s="280"/>
      <c r="C23" s="280"/>
      <c r="D23" s="280"/>
      <c r="E23" s="280"/>
      <c r="F23" s="280"/>
      <c r="G23" s="280"/>
      <c r="H23" s="280"/>
      <c r="I23" s="280"/>
      <c r="J23" s="280"/>
      <c r="K23" s="280"/>
      <c r="L23" s="280"/>
      <c r="M23" s="280"/>
      <c r="N23" s="280"/>
      <c r="O23" s="280"/>
      <c r="P23" s="280"/>
      <c r="Q23" s="305"/>
      <c r="R23" s="305"/>
      <c r="S23" s="305"/>
      <c r="T23" s="305"/>
      <c r="U23" s="305"/>
      <c r="V23" s="305"/>
      <c r="W23" s="305"/>
      <c r="X23" s="305"/>
      <c r="Y23" s="305"/>
      <c r="Z23" s="305"/>
      <c r="AA23" s="305"/>
      <c r="AB23" s="305"/>
      <c r="AC23" s="305"/>
      <c r="AD23" s="305"/>
      <c r="AE23" s="305"/>
      <c r="AF23" s="305"/>
      <c r="AG23" s="305"/>
      <c r="AH23" s="305"/>
      <c r="AI23" s="305"/>
      <c r="AJ23" s="305"/>
      <c r="AK23" s="305"/>
      <c r="AL23" s="305"/>
      <c r="AM23" s="305"/>
      <c r="AN23" s="305"/>
      <c r="AO23" s="305"/>
      <c r="AP23" s="305"/>
      <c r="AQ23" s="305"/>
      <c r="AR23" s="305"/>
      <c r="AS23" s="305"/>
      <c r="AT23" s="305"/>
      <c r="AU23" s="305"/>
      <c r="AV23" s="305"/>
      <c r="AW23" s="305"/>
      <c r="AX23" s="305"/>
      <c r="AY23" s="305"/>
      <c r="AZ23" s="305"/>
      <c r="BA23" s="305"/>
      <c r="BB23" s="305"/>
      <c r="BC23" s="305"/>
      <c r="BD23" s="305"/>
      <c r="BE23" s="305"/>
      <c r="BF23" s="305"/>
      <c r="BG23" s="305"/>
      <c r="BH23" s="305"/>
      <c r="BI23" s="305"/>
      <c r="BJ23" s="305"/>
      <c r="BK23" s="305"/>
      <c r="BL23" s="305"/>
      <c r="BM23" s="305"/>
      <c r="BN23" s="305"/>
      <c r="BO23" s="280"/>
      <c r="BP23" s="280"/>
    </row>
    <row r="24" spans="2:68" x14ac:dyDescent="0.25">
      <c r="B24" s="280" t="s">
        <v>113</v>
      </c>
      <c r="C24" s="280"/>
      <c r="D24" s="315" t="str">
        <f>IF(AND(首頁!G7=FALSE,首頁!L4="杏仁巧克力棒"),IF(首頁!M3="",武器!J11,INDEX(武器!J11:N11,1,首頁!M3)), "")</f>
        <v/>
      </c>
      <c r="E24" s="314" t="str">
        <f>IF(首頁!N3="防禦力", IF(首頁!Q3=0, 首頁!P3, 首頁!Q3), "")</f>
        <v/>
      </c>
      <c r="F24" s="314" t="str">
        <f>IF(首頁!N4="防禦力", IF(首頁!Q4=0, 首頁!P4, 首頁!Q4), "")</f>
        <v/>
      </c>
      <c r="G24" s="280"/>
      <c r="H24" s="280"/>
      <c r="I24" s="314" t="str">
        <f>IF(首頁!N6="防禦力", IF(首頁!Q6=0, 首頁!P6, 首頁!Q6), "")</f>
        <v/>
      </c>
      <c r="J24" s="314" t="str">
        <f>IF(首頁!N7="防禦力", IF(首頁!Q7=0, 首頁!P7, 首頁!Q7), "")</f>
        <v/>
      </c>
      <c r="K24" s="322">
        <f>IF(首頁!M8="", 套裝!I4, INDEX(套裝!I4:M4, 1, 首頁!M8))</f>
        <v>52</v>
      </c>
      <c r="L24" s="315" t="str">
        <f>IF(首頁!K5="雪怪的暴風雪", IF(首頁!M8="", 套裝!I17, INDEX(套裝!I17:M17, 1, 首頁!M8)), "")</f>
        <v/>
      </c>
      <c r="M24" s="314" t="str">
        <f>IF(首頁!N8="防禦力", IF(首頁!Q8=0, 首頁!P8, 首頁!Q8), "")</f>
        <v/>
      </c>
      <c r="N24" s="314" t="str">
        <f>IF(首頁!N9="防禦力", IF(首頁!Q9=0, 首頁!P9, 首頁!Q9), "")</f>
        <v/>
      </c>
      <c r="O24" s="280"/>
      <c r="P24" s="315" t="str">
        <f>IF(OR(首頁!K5="東方草藥", 首頁!K5="永恆大魔術師"), IF(首頁!M10="", 套裝!N14, INDEX(套裝!N14:R14, 1, 首頁!M10)), "")</f>
        <v/>
      </c>
      <c r="Q24" s="314" t="str">
        <f>IF(首頁!N10="防禦力", IF(首頁!Q10=0, 首頁!P10, 首頁!Q10), "")</f>
        <v/>
      </c>
      <c r="R24" s="314" t="str">
        <f>IF(首頁!N11="防禦力", IF(首頁!Q11=0, 首頁!P11, 首頁!Q11), "")</f>
        <v/>
      </c>
      <c r="S24" s="305"/>
      <c r="T24" s="305"/>
      <c r="U24" s="305"/>
      <c r="V24" s="305"/>
      <c r="W24" s="305"/>
      <c r="X24" s="305"/>
      <c r="Y24" s="305"/>
      <c r="Z24" s="305"/>
      <c r="AA24" s="305"/>
      <c r="AB24" s="305"/>
      <c r="AC24" s="305"/>
      <c r="AD24" s="305"/>
      <c r="AE24" s="305"/>
      <c r="AF24" s="305"/>
      <c r="AG24" s="305"/>
      <c r="AH24" s="305"/>
      <c r="AI24" s="305"/>
      <c r="AJ24" s="305"/>
      <c r="AK24" s="305"/>
      <c r="AL24" s="305"/>
      <c r="AM24" s="305"/>
      <c r="AN24" s="305"/>
      <c r="AO24" s="305"/>
      <c r="AP24" s="305"/>
      <c r="AQ24" s="305"/>
      <c r="AR24" s="305"/>
      <c r="AS24" s="305"/>
      <c r="AT24" s="305"/>
      <c r="AU24" s="323" t="str">
        <f>IF(首頁!D5="暖身", IF(首頁!G11=TRUE, IF(首頁!D6="", 法寶卡!J49, INDEX(法寶卡!F49:J49, 1, 首頁!D6)),  ""), "")</f>
        <v/>
      </c>
      <c r="AV24" s="305"/>
      <c r="AW24" s="305"/>
      <c r="AX24" s="305"/>
      <c r="AY24" s="305"/>
      <c r="AZ24" s="305"/>
      <c r="BA24" s="305"/>
      <c r="BB24" s="305"/>
      <c r="BC24" s="305"/>
      <c r="BD24" s="305"/>
      <c r="BE24" s="305"/>
      <c r="BF24" s="305"/>
      <c r="BG24" s="305"/>
      <c r="BH24" s="305"/>
      <c r="BI24" s="305"/>
      <c r="BJ24" s="305"/>
      <c r="BK24" s="305"/>
      <c r="BL24" s="305"/>
      <c r="BM24" s="305"/>
      <c r="BN24" s="305"/>
      <c r="BO24" s="280" t="s">
        <v>113</v>
      </c>
      <c r="BP24" s="324">
        <f>SUM(C24:INDEX(24:24, COLUMN(BP24)-2))</f>
        <v>52</v>
      </c>
    </row>
    <row r="25" spans="2:68" x14ac:dyDescent="0.25">
      <c r="B25" s="280"/>
      <c r="C25" s="280"/>
      <c r="D25" s="280"/>
      <c r="E25" s="280"/>
      <c r="F25" s="280"/>
      <c r="G25" s="280"/>
      <c r="H25" s="280"/>
      <c r="I25" s="280"/>
      <c r="J25" s="280"/>
      <c r="K25" s="280"/>
      <c r="L25" s="280"/>
      <c r="M25" s="280"/>
      <c r="N25" s="280"/>
      <c r="O25" s="280"/>
      <c r="P25" s="280"/>
      <c r="Q25" s="305"/>
      <c r="R25" s="305"/>
      <c r="S25" s="305"/>
      <c r="T25" s="305"/>
      <c r="U25" s="305"/>
      <c r="V25" s="305"/>
      <c r="W25" s="305"/>
      <c r="X25" s="305"/>
      <c r="Y25" s="305"/>
      <c r="Z25" s="305"/>
      <c r="AA25" s="305"/>
      <c r="AB25" s="305"/>
      <c r="AC25" s="305"/>
      <c r="AD25" s="305"/>
      <c r="AE25" s="305"/>
      <c r="AF25" s="305"/>
      <c r="AG25" s="305"/>
      <c r="AH25" s="305"/>
      <c r="AI25" s="305"/>
      <c r="AJ25" s="305"/>
      <c r="AK25" s="305"/>
      <c r="AL25" s="305"/>
      <c r="AM25" s="305"/>
      <c r="AN25" s="305"/>
      <c r="AO25" s="305"/>
      <c r="AP25" s="305"/>
      <c r="AQ25" s="305"/>
      <c r="AR25" s="305"/>
      <c r="AS25" s="305"/>
      <c r="AT25" s="305"/>
      <c r="AU25" s="305"/>
      <c r="AV25" s="305"/>
      <c r="AW25" s="305"/>
      <c r="AX25" s="305"/>
      <c r="AY25" s="305"/>
      <c r="AZ25" s="305"/>
      <c r="BA25" s="305"/>
      <c r="BB25" s="305"/>
      <c r="BC25" s="305"/>
      <c r="BD25" s="305"/>
      <c r="BE25" s="305"/>
      <c r="BF25" s="305"/>
      <c r="BG25" s="305"/>
      <c r="BH25" s="305"/>
      <c r="BI25" s="305"/>
      <c r="BJ25" s="305"/>
      <c r="BK25" s="305"/>
      <c r="BL25" s="305"/>
      <c r="BM25" s="305"/>
      <c r="BN25" s="305"/>
      <c r="BO25" s="280"/>
      <c r="BP25" s="280"/>
    </row>
    <row r="26" spans="2:68" x14ac:dyDescent="0.25">
      <c r="B26" s="280" t="s">
        <v>65</v>
      </c>
      <c r="C26" s="280"/>
      <c r="D26" s="315" t="str">
        <f>IF(AND(首頁!G7=FALSE,首頁!L4="藍莓魔法棒"),IF(首頁!M3="",武器!J13,INDEX(武器!J13:N13,1,首頁!M3)), "")</f>
        <v/>
      </c>
      <c r="E26" s="314" t="str">
        <f>IF(首頁!N3="生命值", IF(首頁!Q3=0, 首頁!P3, 首頁!Q3), "")</f>
        <v/>
      </c>
      <c r="F26" s="314" t="str">
        <f>IF(首頁!N4="生命值", IF(首頁!Q4=0, 首頁!P4, 首頁!Q4), "")</f>
        <v/>
      </c>
      <c r="G26" s="280"/>
      <c r="H26" s="315" t="str">
        <f>IF(首頁!K5="雪怪的暴風雪", IF(首頁!M6="", 套裝!D17, INDEX(套裝!D17:H17, 1, 首頁!M6)), "")</f>
        <v/>
      </c>
      <c r="I26" s="314" t="str">
        <f>IF(首頁!N6="生命值", IF(首頁!Q6=0, 首頁!P6, 首頁!Q6), "")</f>
        <v/>
      </c>
      <c r="J26" s="314" t="str">
        <f>IF(首頁!N7="生命值", IF(首頁!Q7=0, 首頁!P7, 首頁!Q7), "")</f>
        <v/>
      </c>
      <c r="K26" s="280"/>
      <c r="L26" s="315" t="str">
        <f>IF(OR(首頁!K5="東方草藥", 首頁!K5="永恆大魔術師"), IF(首頁!M8="", 套裝!I14, INDEX(套裝!I14:M14, 1, 首頁!M8)), "")</f>
        <v/>
      </c>
      <c r="M26" s="314" t="str">
        <f>IF(首頁!N8="生命值", IF(首頁!Q8=0, 首頁!P8, 首頁!Q8), "")</f>
        <v/>
      </c>
      <c r="N26" s="314" t="str">
        <f>IF(首頁!N9="生命值", IF(首頁!Q9=0, 首頁!P9, 首頁!Q9), "")</f>
        <v/>
      </c>
      <c r="O26" s="322">
        <f>IF(首頁!M10="", 套裝!N4, INDEX(套裝!N4:R4, 1, 首頁!M10))</f>
        <v>52</v>
      </c>
      <c r="P26" s="315" t="str">
        <f>IF(首頁!K5="幽靈海盜", IF(首頁!M10="", 套裝!N20, INDEX(套裝!N20:R20, 1, 首頁!M10)), "")</f>
        <v/>
      </c>
      <c r="Q26" s="314" t="str">
        <f>IF(首頁!N10="生命值", IF(首頁!Q10=0, 首頁!P10, 首頁!Q10), "")</f>
        <v/>
      </c>
      <c r="R26" s="314" t="str">
        <f>IF(首頁!N11="生命值", IF(首頁!Q11=0, 首頁!P11, 首頁!Q11), "")</f>
        <v/>
      </c>
      <c r="S26" s="305"/>
      <c r="T26" s="305"/>
      <c r="U26" s="305"/>
      <c r="V26" s="305"/>
      <c r="W26" s="322" t="str">
        <f>IF(首頁!D5="下午茶", 35, "" )</f>
        <v/>
      </c>
      <c r="X26" s="305"/>
      <c r="Y26" s="305"/>
      <c r="Z26" s="305"/>
      <c r="AA26" s="305"/>
      <c r="AB26" s="305"/>
      <c r="AC26" s="305"/>
      <c r="AD26" s="305"/>
      <c r="AE26" s="305"/>
      <c r="AF26" s="305"/>
      <c r="AG26" s="322" t="str">
        <f>IF(首頁!D5="嗜辣一族", 35, "" )</f>
        <v/>
      </c>
      <c r="AH26" s="305"/>
      <c r="AI26" s="305"/>
      <c r="AJ26" s="305"/>
      <c r="AK26" s="305"/>
      <c r="AL26" s="305"/>
      <c r="AM26" s="305"/>
      <c r="AN26" s="305"/>
      <c r="AO26" s="305"/>
      <c r="AP26" s="305"/>
      <c r="AQ26" s="305"/>
      <c r="AR26" s="305"/>
      <c r="AS26" s="305"/>
      <c r="AT26" s="305"/>
      <c r="AU26" s="322" t="str">
        <f>IF(首頁!D5="暖身", 25, "" )</f>
        <v/>
      </c>
      <c r="AV26" s="305"/>
      <c r="AW26" s="305"/>
      <c r="AX26" s="305"/>
      <c r="AY26" s="305"/>
      <c r="AZ26" s="305"/>
      <c r="BA26" s="305"/>
      <c r="BB26" s="305"/>
      <c r="BC26" s="305"/>
      <c r="BD26" s="305"/>
      <c r="BE26" s="305"/>
      <c r="BF26" s="305"/>
      <c r="BG26" s="305"/>
      <c r="BH26" s="305"/>
      <c r="BI26" s="305"/>
      <c r="BJ26" s="305"/>
      <c r="BK26" s="305"/>
      <c r="BL26" s="305"/>
      <c r="BM26" s="305"/>
      <c r="BN26" s="320" t="str">
        <f>IF(OR(首頁!D3="辣椒碎片", 首頁!D3="洋甘菊", 首頁!D3="開心果"), 30, "")</f>
        <v/>
      </c>
      <c r="BO26" s="280" t="s">
        <v>65</v>
      </c>
      <c r="BP26" s="324">
        <f>SUM(C26:INDEX(26:26, COLUMN(BP26)-2))</f>
        <v>52</v>
      </c>
    </row>
    <row r="27" spans="2:68" x14ac:dyDescent="0.25">
      <c r="B27" s="280"/>
      <c r="C27" s="280"/>
      <c r="D27" s="280"/>
      <c r="E27" s="280"/>
      <c r="F27" s="280"/>
      <c r="G27" s="280"/>
      <c r="H27" s="280"/>
      <c r="I27" s="280"/>
      <c r="J27" s="280"/>
      <c r="K27" s="280"/>
      <c r="L27" s="280"/>
      <c r="M27" s="280"/>
      <c r="N27" s="280"/>
      <c r="O27" s="280"/>
      <c r="P27" s="280"/>
      <c r="Q27" s="305"/>
      <c r="R27" s="305"/>
      <c r="S27" s="305"/>
      <c r="T27" s="305"/>
      <c r="U27" s="305"/>
      <c r="V27" s="305"/>
      <c r="W27" s="305"/>
      <c r="X27" s="305"/>
      <c r="Y27" s="305"/>
      <c r="Z27" s="305"/>
      <c r="AA27" s="305"/>
      <c r="AB27" s="305"/>
      <c r="AC27" s="305"/>
      <c r="AD27" s="305"/>
      <c r="AE27" s="305"/>
      <c r="AF27" s="305"/>
      <c r="AG27" s="305"/>
      <c r="AH27" s="305"/>
      <c r="AI27" s="305"/>
      <c r="AJ27" s="305"/>
      <c r="AK27" s="305"/>
      <c r="AL27" s="305"/>
      <c r="AM27" s="305"/>
      <c r="AN27" s="305"/>
      <c r="AO27" s="305"/>
      <c r="AP27" s="305"/>
      <c r="AQ27" s="305"/>
      <c r="AR27" s="305"/>
      <c r="AS27" s="305"/>
      <c r="AT27" s="305"/>
      <c r="AU27" s="305"/>
      <c r="AV27" s="305"/>
      <c r="AW27" s="305"/>
      <c r="AX27" s="305"/>
      <c r="AY27" s="305"/>
      <c r="AZ27" s="305"/>
      <c r="BA27" s="305"/>
      <c r="BB27" s="305"/>
      <c r="BC27" s="305"/>
      <c r="BD27" s="305"/>
      <c r="BE27" s="305"/>
      <c r="BF27" s="305"/>
      <c r="BG27" s="305"/>
      <c r="BH27" s="305"/>
      <c r="BI27" s="305"/>
      <c r="BJ27" s="305"/>
      <c r="BK27" s="305"/>
      <c r="BL27" s="305"/>
      <c r="BM27" s="305"/>
      <c r="BN27" s="305"/>
      <c r="BO27" s="280"/>
      <c r="BP27" s="280"/>
    </row>
    <row r="28" spans="2:68" x14ac:dyDescent="0.25">
      <c r="B28" s="280" t="s">
        <v>12</v>
      </c>
      <c r="C28" s="315">
        <f>IF(AND(首頁!G7=FALSE, 首頁!L4=""), "",IF(首頁!G7=TRUE, IF(首頁!M3="", 武器!E21, INDEX(武器!E21:I21, 1, 首頁!M3)),IF(首頁!M3="", 武器!E5, INDEX(武器!E5:I5, 1, 首頁!M3))))</f>
        <v>52</v>
      </c>
      <c r="D28" s="315" t="str">
        <f>IF(AND(首頁!G7=FALSE,首頁!L4="黃金柳橙巧克力矛"),IF(首頁!M3="",武器!J15,INDEX(武器!J15:N15,1,首頁!M3)), "")</f>
        <v/>
      </c>
      <c r="E28" s="314" t="str">
        <f>IF(首頁!N3="攻擊力", IF(首頁!Q3=0, 首頁!P3, 首頁!Q3), "")</f>
        <v/>
      </c>
      <c r="F28" s="314">
        <f>IF(首頁!N4="攻擊力", IF(首頁!Q4=0, 首頁!P4, 首頁!Q4), "")</f>
        <v>20</v>
      </c>
      <c r="G28" s="280"/>
      <c r="H28" s="315">
        <f>IF(OR(首頁!K5="東方草藥", 首頁!K5="甜蜜白糖", 首頁!K5="永恆大魔術師", 首頁!K5="時間管理局制服"), IF(首頁!M6="", 套裝!D11, INDEX(套裝!D11:H11, 1, 首頁!M6)), "")</f>
        <v>30</v>
      </c>
      <c r="I28" s="314" t="str">
        <f>IF(首頁!N6="攻擊力", IF(首頁!Q6=0, 首頁!P6, 首頁!Q6), "")</f>
        <v/>
      </c>
      <c r="J28" s="314" t="str">
        <f>IF(首頁!N7="攻擊力", IF(首頁!Q7=0, 首頁!P7, 首頁!Q7), "")</f>
        <v/>
      </c>
      <c r="K28" s="280"/>
      <c r="L28" s="315" t="str">
        <f>IF(OR(首頁!K5="幽靈海盜", 首頁!K5="璀璨流星雨"), IF(首頁!M8="", 套裝!I20, INDEX(套裝!I20:M20, 1, 首頁!M8)), "")</f>
        <v/>
      </c>
      <c r="M28" s="314" t="str">
        <f>IF(首頁!N8="攻擊力", IF(首頁!Q8=0, 首頁!P8, 首頁!Q8), "")</f>
        <v/>
      </c>
      <c r="N28" s="314" t="str">
        <f>IF(首頁!N9="攻擊力", IF(首頁!Q9=0, 首頁!P9, 首頁!Q9), "")</f>
        <v/>
      </c>
      <c r="O28" s="280"/>
      <c r="P28" s="280"/>
      <c r="Q28" s="314" t="str">
        <f>IF(首頁!N10="攻擊力", IF(首頁!Q10=0, 首頁!P10, 首頁!Q10), "")</f>
        <v/>
      </c>
      <c r="R28" s="314" t="str">
        <f>IF(首頁!N11="攻擊力", IF(首頁!Q11=0, 首頁!P11, 首頁!Q11), "")</f>
        <v/>
      </c>
      <c r="S28" s="305"/>
      <c r="T28" s="316">
        <f>IF(首頁!K5="幽靈海盜", 30, IF(首頁!K5="詭異的獵人", 20, IF(首頁!K5="時間管理局制服", 15, "")))</f>
        <v>15</v>
      </c>
      <c r="U28" s="305"/>
      <c r="V28" s="322" t="str">
        <f>IF(首頁!D5="午夜的華爾滋", 35, "" )</f>
        <v/>
      </c>
      <c r="W28" s="280"/>
      <c r="X28" s="322" t="str">
        <f>IF(首頁!D5="快樂巡邏時間", 35, "" )</f>
        <v/>
      </c>
      <c r="Y28" s="322" t="str">
        <f>IF(首頁!D5="穿透之光", 35, "" )</f>
        <v/>
      </c>
      <c r="Z28" s="322" t="str">
        <f>IF(首頁!D5="黃昏追擊戰", 35, "" )</f>
        <v/>
      </c>
      <c r="AA28" s="322" t="str">
        <f>IF(首頁!D5="被喚醒的回憶", 35, "" )</f>
        <v/>
      </c>
      <c r="AB28" s="322" t="str">
        <f>IF(首頁!D5="被遺忘的魔法書的秘密", 35, "" )</f>
        <v/>
      </c>
      <c r="AC28" s="322" t="str">
        <f>IF(首頁!D5="努力的成果", 35, "" )</f>
        <v/>
      </c>
      <c r="AD28" s="322" t="str">
        <f>IF(首頁!D5="無法回頭的選擇", 35, "" )</f>
        <v/>
      </c>
      <c r="AE28" s="322">
        <f>IF(首頁!D5="作戰開始", 35, "" )</f>
        <v>35</v>
      </c>
      <c r="AF28" s="322" t="str">
        <f>IF(首頁!D5="頭好壯壯吃飽飽", 35, "" )</f>
        <v/>
      </c>
      <c r="AG28" s="280"/>
      <c r="AH28" s="322" t="str">
        <f>IF(首頁!D5="安可表演", 35, "" )</f>
        <v/>
      </c>
      <c r="AI28" s="322" t="str">
        <f>IF(首頁!D5="非凡的誕生", 35, "" )</f>
        <v/>
      </c>
      <c r="AJ28" s="322" t="str">
        <f>IF(首頁!D5="光的另一端", 35, "" )</f>
        <v/>
      </c>
      <c r="AK28" s="280"/>
      <c r="AL28" s="280"/>
      <c r="AM28" s="280"/>
      <c r="AN28" s="322" t="str">
        <f>IF(首頁!D5="覺醒的瞬間", 35, "" )</f>
        <v/>
      </c>
      <c r="AO28" s="280"/>
      <c r="AP28" s="322" t="str">
        <f>IF(首頁!D5="新的組合公式", 25, "" )</f>
        <v/>
      </c>
      <c r="AQ28" s="322" t="str">
        <f>IF(首頁!D5="修練之路", 25, "" )</f>
        <v/>
      </c>
      <c r="AR28" s="322" t="str">
        <f>IF(首頁!D5="香甜爆炸", 25, "" )</f>
        <v/>
      </c>
      <c r="AS28" s="322" t="str">
        <f>IF(首頁!D5="藝術家創作時間", 25, "" )</f>
        <v/>
      </c>
      <c r="AT28" s="322" t="str">
        <f>IF(首頁!D5="聖杯的誓言", 25, "" )</f>
        <v/>
      </c>
      <c r="AU28" s="280"/>
      <c r="AV28" s="322" t="str">
        <f>IF(首頁!D5="孤獨月夜", 25, "" )</f>
        <v/>
      </c>
      <c r="AW28" s="280"/>
      <c r="AX28" s="280"/>
      <c r="AY28" s="280"/>
      <c r="AZ28" s="280"/>
      <c r="BA28" s="280"/>
      <c r="BB28" s="280"/>
      <c r="BC28" s="280"/>
      <c r="BD28" s="280"/>
      <c r="BE28" s="280"/>
      <c r="BF28" s="280"/>
      <c r="BG28" s="280"/>
      <c r="BH28" s="280"/>
      <c r="BI28" s="280"/>
      <c r="BJ28" s="280"/>
      <c r="BK28" s="280"/>
      <c r="BL28" s="280"/>
      <c r="BM28" s="280"/>
      <c r="BN28" s="320">
        <f>IF(OR(首頁!D3="奶油蘇打", 首頁!D3="黑麥", 首頁!D3="紫玉甘藍", 首頁!D3="狼人", 首頁!D3="鍊金術師", 首頁!D3="櫻桃", 首頁!D3="勇敢", 首頁!D3="忍者", 首頁!D3="哈拉帕辣椒"), 30, 0)</f>
        <v>0</v>
      </c>
      <c r="BO28" s="280" t="s">
        <v>12</v>
      </c>
      <c r="BP28" s="324">
        <f>SUM(C28:INDEX(28:28, COLUMN(BP28)-2))</f>
        <v>152</v>
      </c>
    </row>
    <row r="29" spans="2:68" x14ac:dyDescent="0.25">
      <c r="B29" s="280"/>
      <c r="C29" s="280"/>
      <c r="D29" s="280"/>
      <c r="E29" s="280"/>
      <c r="F29" s="280"/>
      <c r="G29" s="280"/>
      <c r="H29" s="280"/>
      <c r="I29" s="280"/>
      <c r="J29" s="280"/>
      <c r="K29" s="280"/>
      <c r="L29" s="280"/>
      <c r="M29" s="280"/>
      <c r="N29" s="280"/>
      <c r="O29" s="280"/>
      <c r="P29" s="280"/>
      <c r="Q29" s="305"/>
      <c r="R29" s="305"/>
      <c r="S29" s="305"/>
      <c r="T29" s="305"/>
      <c r="U29" s="305"/>
      <c r="V29" s="305"/>
      <c r="W29" s="305"/>
      <c r="X29" s="305"/>
      <c r="Y29" s="305"/>
      <c r="Z29" s="305"/>
      <c r="AA29" s="305"/>
      <c r="AB29" s="305"/>
      <c r="AC29" s="305"/>
      <c r="AD29" s="305"/>
      <c r="AE29" s="305"/>
      <c r="AF29" s="305"/>
      <c r="AG29" s="305"/>
      <c r="AH29" s="305"/>
      <c r="AI29" s="305"/>
      <c r="AJ29" s="305"/>
      <c r="AK29" s="305"/>
      <c r="AL29" s="305"/>
      <c r="AM29" s="305"/>
      <c r="AN29" s="305"/>
      <c r="AO29" s="305"/>
      <c r="AP29" s="305"/>
      <c r="AQ29" s="305"/>
      <c r="AR29" s="305"/>
      <c r="AS29" s="305"/>
      <c r="AT29" s="305"/>
      <c r="AU29" s="305"/>
      <c r="AV29" s="305"/>
      <c r="AW29" s="305"/>
      <c r="AX29" s="305"/>
      <c r="AY29" s="305"/>
      <c r="AZ29" s="305"/>
      <c r="BA29" s="305"/>
      <c r="BB29" s="305"/>
      <c r="BC29" s="305"/>
      <c r="BD29" s="305"/>
      <c r="BE29" s="305"/>
      <c r="BF29" s="305"/>
      <c r="BG29" s="305"/>
      <c r="BH29" s="305"/>
      <c r="BI29" s="305"/>
      <c r="BJ29" s="305"/>
      <c r="BK29" s="305"/>
      <c r="BL29" s="305"/>
      <c r="BM29" s="305"/>
      <c r="BN29" s="305"/>
      <c r="BO29" s="280"/>
      <c r="BP29" s="280"/>
    </row>
    <row r="30" spans="2:68" x14ac:dyDescent="0.25">
      <c r="B30" s="280" t="s">
        <v>350</v>
      </c>
      <c r="C30" s="280"/>
      <c r="D30" s="280"/>
      <c r="E30" s="280"/>
      <c r="F30" s="280"/>
      <c r="G30" s="280"/>
      <c r="H30" s="280"/>
      <c r="I30" s="280"/>
      <c r="J30" s="280"/>
      <c r="K30" s="280"/>
      <c r="L30" s="280"/>
      <c r="M30" s="280"/>
      <c r="N30" s="280"/>
      <c r="O30" s="280"/>
      <c r="P30" s="280"/>
      <c r="Q30" s="305"/>
      <c r="R30" s="305"/>
      <c r="S30" s="305"/>
      <c r="T30" s="305"/>
      <c r="U30" s="316">
        <f>IF(AND(首頁!G33=TRUE, 首頁!K5="時間管理局制服"), 15, "")</f>
        <v>15</v>
      </c>
      <c r="V30" s="305"/>
      <c r="W30" s="305"/>
      <c r="X30" s="305"/>
      <c r="Y30" s="323">
        <f>IF(首頁!D5="穿透之光", IF(首頁!D6="", 法寶卡!J9, INDEX(法寶卡!F9:J9, 1, 首頁!D6)), 0)</f>
        <v>0</v>
      </c>
      <c r="Z30" s="323">
        <f>IF(首頁!D5="黃昏追擊戰", IF(首頁!D6="", 法寶卡!J10, INDEX(法寶卡!F10:J10, 1, 首頁!D6)), 0) * IF(首頁!D8="", 首頁!D7, 首頁!D8)</f>
        <v>0</v>
      </c>
      <c r="AA30" s="323">
        <f>IF(AND(首頁!D5="被喚醒的回憶", OR(首頁!D7=首頁!D8, 首頁!D8="")), IF(首頁!D6="", 法寶卡!J13, INDEX(法寶卡!F13:J13, 1, 首頁!D6)), 0)</f>
        <v>0</v>
      </c>
      <c r="AB30" s="305"/>
      <c r="AC30" s="323">
        <f>IF(首頁!D5="努力的成果", IF(首頁!D6="", 法寶卡!J16, INDEX(法寶卡!F16:J16, 1, 首頁!D6)), 0) * IF(首頁!D8="", 首頁!D7, 首頁!D8)</f>
        <v>0</v>
      </c>
      <c r="AD30" s="305"/>
      <c r="AE30" s="305"/>
      <c r="AF30" s="305"/>
      <c r="AG30" s="305"/>
      <c r="AH30" s="323" t="str">
        <f>IF(首頁!D5="安可表演", IF(首頁!D47="攻擊力%", IF(首頁!D6="", 法寶卡!J25, INDEX(法寶卡!F25:J25, 1, 首頁!D6)),  ""), "")</f>
        <v/>
      </c>
      <c r="AI30" s="305"/>
      <c r="AJ30" s="323" t="str">
        <f>IF(首頁!D5="光的另一端", IF(OR(首頁!G16=TRUE, 首頁!G17=TRUE), IF(首頁!D6="", 法寶卡!J32, INDEX(法寶卡!F32:J32, 1, 首頁!D6)),  ""), "")</f>
        <v/>
      </c>
      <c r="AK30" s="280"/>
      <c r="AL30" s="280"/>
      <c r="AM30" s="280"/>
      <c r="AN30" s="280"/>
      <c r="AO30" s="280"/>
      <c r="AP30" s="305"/>
      <c r="AQ30" s="323" t="str">
        <f>IF(首頁!D5="修練之路", IF(首頁!G17=TRUE, IF(首頁!D6="", 法寶卡!J44, INDEX(法寶卡!F44:J44, 1, 首頁!D6)),  ""), "")</f>
        <v/>
      </c>
      <c r="AR30" s="305"/>
      <c r="AS30" s="305"/>
      <c r="AT30" s="305"/>
      <c r="AU30" s="305"/>
      <c r="AV30" s="325"/>
      <c r="AW30" s="321" t="str">
        <f>IF(首頁!G19=TRUE, IF(首頁!M14="", 50*(100+70+IF(首頁!G20=TRUE, 40, 0))%, 50*(100+首頁!M14+IF(首頁!G20=TRUE, 40, 0))%), "")</f>
        <v/>
      </c>
      <c r="AX30" s="280"/>
      <c r="AY30" s="321">
        <f>IF(首頁!G30=TRUE, 24, 0)</f>
        <v>0</v>
      </c>
      <c r="AZ30" s="280"/>
      <c r="BA30" s="280"/>
      <c r="BB30" s="280"/>
      <c r="BC30" s="280"/>
      <c r="BD30" s="280"/>
      <c r="BE30" s="280"/>
      <c r="BF30" s="351">
        <f>IF(首頁!G37=TRUE, 20, 0)</f>
        <v>0</v>
      </c>
      <c r="BG30" s="280"/>
      <c r="BH30" s="280"/>
      <c r="BI30" s="280"/>
      <c r="BJ30" s="280"/>
      <c r="BK30" s="280"/>
      <c r="BL30" s="280"/>
      <c r="BM30" s="280"/>
      <c r="BN30" s="305"/>
      <c r="BO30" s="280" t="s">
        <v>350</v>
      </c>
      <c r="BP30" s="324">
        <f>SUM(C30:INDEX(30:30, COLUMN(BP30)-2))</f>
        <v>15</v>
      </c>
    </row>
    <row r="31" spans="2:68" x14ac:dyDescent="0.25">
      <c r="B31" s="280"/>
      <c r="C31" s="280"/>
      <c r="D31" s="280"/>
      <c r="E31" s="280"/>
      <c r="F31" s="280"/>
      <c r="G31" s="280"/>
      <c r="H31" s="280"/>
      <c r="I31" s="280"/>
      <c r="J31" s="280"/>
      <c r="K31" s="280"/>
      <c r="L31" s="280"/>
      <c r="M31" s="280"/>
      <c r="N31" s="280"/>
      <c r="O31" s="280"/>
      <c r="P31" s="280"/>
      <c r="Q31" s="305"/>
      <c r="R31" s="305"/>
      <c r="S31" s="305"/>
      <c r="T31" s="305"/>
      <c r="U31" s="305"/>
      <c r="V31" s="305"/>
      <c r="W31" s="305"/>
      <c r="X31" s="305"/>
      <c r="Y31" s="305"/>
      <c r="Z31" s="305"/>
      <c r="AA31" s="305"/>
      <c r="AB31" s="305"/>
      <c r="AC31" s="305"/>
      <c r="AD31" s="305"/>
      <c r="AE31" s="305"/>
      <c r="AF31" s="305"/>
      <c r="AG31" s="305"/>
      <c r="AH31" s="305"/>
      <c r="AI31" s="305"/>
      <c r="AJ31" s="305"/>
      <c r="AK31" s="305"/>
      <c r="AL31" s="305"/>
      <c r="AM31" s="305"/>
      <c r="AN31" s="305"/>
      <c r="AO31" s="305"/>
      <c r="AP31" s="305"/>
      <c r="AQ31" s="305"/>
      <c r="AR31" s="305"/>
      <c r="AS31" s="305"/>
      <c r="AT31" s="305"/>
      <c r="AU31" s="305"/>
      <c r="AV31" s="305"/>
      <c r="AW31" s="305"/>
      <c r="AX31" s="305"/>
      <c r="AY31" s="305"/>
      <c r="AZ31" s="305"/>
      <c r="BA31" s="305"/>
      <c r="BB31" s="305"/>
      <c r="BC31" s="305"/>
      <c r="BD31" s="305"/>
      <c r="BE31" s="305"/>
      <c r="BF31" s="305"/>
      <c r="BG31" s="305"/>
      <c r="BH31" s="305"/>
      <c r="BI31" s="305"/>
      <c r="BJ31" s="305"/>
      <c r="BK31" s="305"/>
      <c r="BL31" s="305"/>
      <c r="BM31" s="305"/>
      <c r="BN31" s="305"/>
      <c r="BO31" s="280"/>
      <c r="BP31" s="280"/>
    </row>
    <row r="32" spans="2:68" ht="15.75" customHeight="1" x14ac:dyDescent="0.25">
      <c r="B32" s="280" t="s">
        <v>117</v>
      </c>
      <c r="C32" s="280"/>
      <c r="D32" s="315" t="str">
        <f>IF(AND(首頁!G7=FALSE,首頁!L4="跳跳糖迴旋鏢"),IF(首頁!M3="",武器!J9,INDEX(武器!J9:N9,1,首頁!M3)), "")</f>
        <v/>
      </c>
      <c r="E32" s="314" t="str">
        <f>IF(首頁!N3="暴擊率", IF(首頁!Q3=0, 首頁!P3, 首頁!Q3), "")</f>
        <v/>
      </c>
      <c r="F32" s="314" t="str">
        <f>IF(首頁!N4="暴擊率", IF(首頁!Q4=0, 首頁!P4, 首頁!Q4), "")</f>
        <v/>
      </c>
      <c r="G32" s="280"/>
      <c r="H32" s="315" t="str">
        <f>IF(首頁!K5="黃金禮服", IF(首頁!M6="", 套裝!D29, INDEX(套裝!D29:H29, 1, 首頁!M6)), "")</f>
        <v/>
      </c>
      <c r="I32" s="314" t="str">
        <f>IF(首頁!N6="暴擊率", IF(首頁!Q6=0, 首頁!P6, 首頁!Q6), "")</f>
        <v/>
      </c>
      <c r="J32" s="314" t="str">
        <f>IF(首頁!N7="暴擊率", IF(首頁!Q7=0, 首頁!P7, 首頁!Q7), "")</f>
        <v/>
      </c>
      <c r="K32" s="280"/>
      <c r="L32" s="315" t="str">
        <f>IF(OR(首頁!K5="詭異的獵人", 首頁!K5="被遺忘的英雄", 首頁!K5="記憶的奧妙世界" ), IF(首頁!M8="", 套裝!I35, INDEX(套裝!I35:M35, 1, 首頁!M8)), "")</f>
        <v/>
      </c>
      <c r="M32" s="314">
        <f>IF(首頁!N8="暴擊率", IF(首頁!Q8=0, 首頁!P8, 首頁!Q8), "")</f>
        <v>15</v>
      </c>
      <c r="N32" s="314">
        <f>IF(首頁!N9="暴擊率", IF(首頁!Q9=0, 首頁!P9, 首頁!Q9), "")</f>
        <v>15</v>
      </c>
      <c r="O32" s="280"/>
      <c r="P32" s="280"/>
      <c r="Q32" s="314">
        <f>IF(首頁!N10="暴擊率", IF(首頁!Q10=0, 首頁!P10, 首頁!Q10), "")</f>
        <v>15</v>
      </c>
      <c r="R32" s="314">
        <f>IF(首頁!N11="暴擊率", IF(首頁!Q11=0, 首頁!P11, 首頁!Q11), "")</f>
        <v>15</v>
      </c>
      <c r="S32" s="305"/>
      <c r="T32" s="316" t="str">
        <f>IF(首頁!K5="謎樣流浪者", 15, "")</f>
        <v/>
      </c>
      <c r="U32" s="305"/>
      <c r="V32" s="305"/>
      <c r="W32" s="305"/>
      <c r="X32" s="322" t="str">
        <f>IF(首頁!D5="快樂巡邏時間", -15, "" )</f>
        <v/>
      </c>
      <c r="Y32" s="305"/>
      <c r="Z32" s="305"/>
      <c r="AA32" s="305"/>
      <c r="AB32" s="305"/>
      <c r="AC32" s="305"/>
      <c r="AD32" s="305"/>
      <c r="AE32" s="305"/>
      <c r="AF32" s="305"/>
      <c r="AG32" s="305"/>
      <c r="AH32" s="305"/>
      <c r="AI32" s="305"/>
      <c r="AJ32" s="305"/>
      <c r="AK32" s="322" t="str">
        <f>IF(首頁!D5="狂熱狙擊", 25, "" )</f>
        <v/>
      </c>
      <c r="AL32" s="322" t="str">
        <f>IF(首頁!D5="特製料理", 25, "" )</f>
        <v/>
      </c>
      <c r="AM32" s="323" t="str">
        <f>IF(首頁!D5="特製料理", IF(首頁!D6="", 法寶卡!J36, INDEX(法寶卡!F36:J36, 1, 首頁!D6)), "")</f>
        <v/>
      </c>
      <c r="AN32" s="280"/>
      <c r="AO32" s="280"/>
      <c r="AP32" s="305"/>
      <c r="AQ32" s="305"/>
      <c r="AR32" s="305"/>
      <c r="AS32" s="305"/>
      <c r="AT32" s="305"/>
      <c r="AU32" s="305"/>
      <c r="AV32" s="305"/>
      <c r="AW32" s="305"/>
      <c r="AX32" s="305"/>
      <c r="AY32" s="305"/>
      <c r="AZ32" s="305"/>
      <c r="BA32" s="305"/>
      <c r="BB32" s="305"/>
      <c r="BC32" s="305"/>
      <c r="BD32" s="305"/>
      <c r="BE32" s="305"/>
      <c r="BF32" s="305"/>
      <c r="BG32" s="305"/>
      <c r="BH32" s="305"/>
      <c r="BI32" s="305"/>
      <c r="BJ32" s="305"/>
      <c r="BK32" s="305"/>
      <c r="BL32" s="305"/>
      <c r="BM32" s="305"/>
      <c r="BN32" s="320">
        <f>IF(OR(首頁!D3="檸檬皮", 首頁!D3="甜辣醬", 首頁!D3="羅勒青醬", 首頁!D3="冰岩"), 22.5, "")</f>
        <v>22.5</v>
      </c>
      <c r="BO32" s="280" t="s">
        <v>117</v>
      </c>
      <c r="BP32" s="324">
        <f>IF((15+SUM(C32:INDEX(32:32,COLUMN(BP32)-2)))&gt;100,100,(15+SUM(C32:INDEX(32:32,COLUMN(BP32)-2))))</f>
        <v>97.5</v>
      </c>
    </row>
    <row r="33" spans="2:68" x14ac:dyDescent="0.25">
      <c r="B33" s="280"/>
      <c r="C33" s="280"/>
      <c r="D33" s="280"/>
      <c r="E33" s="280"/>
      <c r="F33" s="280"/>
      <c r="G33" s="280"/>
      <c r="H33" s="280"/>
      <c r="I33" s="280"/>
      <c r="J33" s="280"/>
      <c r="K33" s="305"/>
      <c r="L33" s="280"/>
      <c r="M33" s="305"/>
      <c r="N33" s="305"/>
      <c r="O33" s="305"/>
      <c r="P33" s="305"/>
      <c r="Q33" s="305"/>
      <c r="R33" s="305"/>
      <c r="S33" s="305"/>
      <c r="T33" s="305"/>
      <c r="U33" s="305"/>
      <c r="V33" s="305"/>
      <c r="W33" s="305"/>
      <c r="X33" s="305"/>
      <c r="Y33" s="305"/>
      <c r="Z33" s="305"/>
      <c r="AA33" s="305"/>
      <c r="AB33" s="305"/>
      <c r="AC33" s="305"/>
      <c r="AD33" s="305"/>
      <c r="AE33" s="305"/>
      <c r="AF33" s="305"/>
      <c r="AG33" s="305"/>
      <c r="AH33" s="305"/>
      <c r="AI33" s="305"/>
      <c r="AJ33" s="305"/>
      <c r="AK33" s="305"/>
      <c r="AL33" s="305"/>
      <c r="AM33" s="305"/>
      <c r="AN33" s="305"/>
      <c r="AO33" s="305"/>
      <c r="AP33" s="305"/>
      <c r="AQ33" s="305"/>
      <c r="AR33" s="305"/>
      <c r="AS33" s="305"/>
      <c r="AT33" s="305"/>
      <c r="AU33" s="305"/>
      <c r="AV33" s="305"/>
      <c r="AW33" s="305"/>
      <c r="AX33" s="305"/>
      <c r="AY33" s="305"/>
      <c r="AZ33" s="305"/>
      <c r="BA33" s="305"/>
      <c r="BB33" s="305"/>
      <c r="BC33" s="305"/>
      <c r="BD33" s="305"/>
      <c r="BE33" s="305"/>
      <c r="BF33" s="305"/>
      <c r="BG33" s="305"/>
      <c r="BH33" s="305"/>
      <c r="BI33" s="305"/>
      <c r="BJ33" s="305"/>
      <c r="BK33" s="305"/>
      <c r="BL33" s="305"/>
      <c r="BM33" s="305"/>
      <c r="BN33" s="305"/>
      <c r="BO33" s="280"/>
      <c r="BP33" s="280"/>
    </row>
    <row r="34" spans="2:68" x14ac:dyDescent="0.25">
      <c r="B34" s="280" t="s">
        <v>133</v>
      </c>
      <c r="C34" s="280"/>
      <c r="D34" s="315" t="str">
        <f>IF(AND(首頁!G7=FALSE,首頁!L4="長棍麵包棒"),IF(首頁!M3="",武器!J7,INDEX(武器!J7:N7,1,首頁!M3)), "")</f>
        <v/>
      </c>
      <c r="E34" s="314" t="str">
        <f>IF(首頁!N3="暴擊傷害", IF(首頁!Q3=0, 首頁!P3, 首頁!Q3), "")</f>
        <v/>
      </c>
      <c r="F34" s="314" t="str">
        <f>IF(首頁!N4="暴擊傷害", IF(首頁!Q4=0, 首頁!P4, 首頁!Q4), "")</f>
        <v/>
      </c>
      <c r="G34" s="280"/>
      <c r="H34" s="315" t="str">
        <f>IF(首頁!K5="謎樣流浪者", IF(首頁!M6="", 套裝!D23, INDEX(套裝!D23:H23, 1, 首頁!M6)), "")</f>
        <v/>
      </c>
      <c r="I34" s="314">
        <f>IF(首頁!N6="暴擊傷害", IF(首頁!Q6=0, 首頁!P6, 首頁!Q6), "")</f>
        <v>25</v>
      </c>
      <c r="J34" s="314">
        <f>IF(首頁!N7="暴擊傷害", IF(首頁!Q7=0, 首頁!P7, 首頁!Q7), "")</f>
        <v>25</v>
      </c>
      <c r="K34" s="305"/>
      <c r="L34" s="305"/>
      <c r="M34" s="314" t="str">
        <f>IF(首頁!N8="暴擊傷害", IF(首頁!Q8=0, 首頁!P8, 首頁!Q8), "")</f>
        <v/>
      </c>
      <c r="N34" s="314" t="str">
        <f>IF(首頁!N9="暴擊傷害", IF(首頁!Q9=0, 首頁!P9, 首頁!Q9), "")</f>
        <v/>
      </c>
      <c r="O34" s="305"/>
      <c r="P34" s="315" t="str">
        <f>IF(OR(首頁!K5="詭異的獵人", 首頁!K5="被遺忘的英雄", 首頁!K5="記憶的奧妙世界" ), IF(首頁!M10="", 套裝!N35, INDEX(套裝!N35:R35, 1, 首頁!M10)), "")</f>
        <v/>
      </c>
      <c r="Q34" s="314" t="str">
        <f>IF(首頁!N10="暴擊傷害", IF(首頁!Q10=0, 首頁!P10, 首頁!Q10), "")</f>
        <v/>
      </c>
      <c r="R34" s="314" t="str">
        <f>IF(首頁!N11="暴擊傷害", IF(首頁!Q11=0, 首頁!P11, 首頁!Q11), "")</f>
        <v/>
      </c>
      <c r="S34" s="305"/>
      <c r="T34" s="305"/>
      <c r="U34" s="305"/>
      <c r="V34" s="323">
        <f>IF(首頁!D5="午夜的華爾滋", IF(首頁!D6="", 法寶卡!J4, INDEX(法寶卡!F4:J4, 1, 首頁!D6)), 0) * IF(首頁!D8="", 首頁!D7, 首頁!D8)</f>
        <v>0</v>
      </c>
      <c r="W34" s="305"/>
      <c r="X34" s="305"/>
      <c r="Y34" s="305"/>
      <c r="Z34" s="305"/>
      <c r="AA34" s="305"/>
      <c r="AB34" s="305"/>
      <c r="AC34" s="305"/>
      <c r="AD34" s="323">
        <f>IF(首頁!D5="無法回頭的選擇", IF(首頁!D6="", 法寶卡!J18, INDEX(法寶卡!F18:J18, 1, 首頁!D6)), 0)</f>
        <v>0</v>
      </c>
      <c r="AE34" s="323">
        <f>IF(首頁!D5="作戰開始", IF(首頁!D46&lt;75, IF(首頁!D6="", 法寶卡!J21, INDEX(法寶卡!F21:J21, 1, 首頁!D6)), IF(首頁!D6="", 法寶卡!J20, INDEX(法寶卡!F20:J20, 1, 首頁!D6))), "")</f>
        <v>140</v>
      </c>
      <c r="AF34" s="305"/>
      <c r="AG34" s="305"/>
      <c r="AH34" s="305"/>
      <c r="AI34" s="305"/>
      <c r="AJ34" s="305"/>
      <c r="AK34" s="323" t="str">
        <f>IF(首頁!D5="狂熱狙擊", IF(首頁!D6="", 法寶卡!J34, INDEX(法寶卡!F34:J34, 1, 首頁!D6)), "")</f>
        <v/>
      </c>
      <c r="AL34" s="280"/>
      <c r="AM34" s="280"/>
      <c r="AN34" s="323">
        <f>IF(首頁!D5="覺醒的瞬間", IF(首頁!D6="", 法寶卡!J39, INDEX(法寶卡!F39:J39, 1, 首頁!D6)), 0) * IF(首頁!D8="", 首頁!D7, 首頁!D8)</f>
        <v>0</v>
      </c>
      <c r="AO34" s="280"/>
      <c r="AP34" s="305"/>
      <c r="AQ34" s="305"/>
      <c r="AR34" s="305"/>
      <c r="AS34" s="305"/>
      <c r="AT34" s="305"/>
      <c r="AU34" s="305"/>
      <c r="AV34" s="305"/>
      <c r="AW34" s="305"/>
      <c r="AX34" s="305"/>
      <c r="AY34" s="305"/>
      <c r="AZ34" s="305"/>
      <c r="BA34" s="321" t="str">
        <f>IF(首頁!G24=TRUE, 30, "")</f>
        <v/>
      </c>
      <c r="BB34" s="305"/>
      <c r="BC34" s="305"/>
      <c r="BD34" s="321" t="str">
        <f>IF(首頁!G35=TRUE, IF(首頁!M18="", 20*(100+85)%, 20*(100+首頁!M18)%), "")</f>
        <v/>
      </c>
      <c r="BE34" s="351" t="str">
        <f>IF(首頁!G35=TRUE, 30, "")</f>
        <v/>
      </c>
      <c r="BF34" s="305"/>
      <c r="BG34" s="305"/>
      <c r="BH34" s="305"/>
      <c r="BI34" s="305"/>
      <c r="BJ34" s="305"/>
      <c r="BK34" s="305"/>
      <c r="BL34" s="305"/>
      <c r="BM34" s="305"/>
      <c r="BN34" s="320" t="str">
        <f>IF(首頁!D3="黑巧克力", 37.5, "")</f>
        <v/>
      </c>
      <c r="BO34" s="280" t="s">
        <v>133</v>
      </c>
      <c r="BP34" s="324">
        <f>150+SUM(C34:INDEX(34:34, COLUMN(BP34)-2))</f>
        <v>340</v>
      </c>
    </row>
    <row r="35" spans="2:68" x14ac:dyDescent="0.25">
      <c r="B35" s="280"/>
      <c r="C35" s="280"/>
      <c r="D35" s="280"/>
      <c r="E35" s="280"/>
      <c r="F35" s="280"/>
      <c r="G35" s="280"/>
      <c r="H35" s="280"/>
      <c r="I35" s="280"/>
      <c r="J35" s="280"/>
      <c r="K35" s="305"/>
      <c r="L35" s="305"/>
      <c r="M35" s="305"/>
      <c r="N35" s="305"/>
      <c r="O35" s="305"/>
      <c r="P35" s="305"/>
      <c r="Q35" s="305"/>
      <c r="R35" s="305"/>
      <c r="S35" s="305"/>
      <c r="T35" s="305"/>
      <c r="U35" s="305"/>
      <c r="V35" s="305"/>
      <c r="W35" s="305"/>
      <c r="X35" s="305"/>
      <c r="Y35" s="305"/>
      <c r="Z35" s="305"/>
      <c r="AA35" s="305"/>
      <c r="AB35" s="305"/>
      <c r="AC35" s="305"/>
      <c r="AD35" s="305"/>
      <c r="AE35" s="305"/>
      <c r="AF35" s="305"/>
      <c r="AG35" s="305"/>
      <c r="AH35" s="305"/>
      <c r="AI35" s="305"/>
      <c r="AJ35" s="305"/>
      <c r="AK35" s="305"/>
      <c r="AL35" s="305"/>
      <c r="AM35" s="305"/>
      <c r="AN35" s="305"/>
      <c r="AO35" s="305"/>
      <c r="AP35" s="305"/>
      <c r="AQ35" s="305"/>
      <c r="AR35" s="305"/>
      <c r="AS35" s="305"/>
      <c r="AT35" s="305"/>
      <c r="AU35" s="305"/>
      <c r="AV35" s="305"/>
      <c r="AW35" s="305"/>
      <c r="AX35" s="305"/>
      <c r="AY35" s="305"/>
      <c r="AZ35" s="305"/>
      <c r="BA35" s="305"/>
      <c r="BB35" s="305"/>
      <c r="BC35" s="305"/>
      <c r="BD35" s="305"/>
      <c r="BE35" s="305"/>
      <c r="BF35" s="305"/>
      <c r="BG35" s="305"/>
      <c r="BH35" s="305"/>
      <c r="BI35" s="305"/>
      <c r="BJ35" s="305"/>
      <c r="BK35" s="305"/>
      <c r="BL35" s="305"/>
      <c r="BM35" s="305"/>
      <c r="BN35" s="305"/>
      <c r="BO35" s="280"/>
      <c r="BP35" s="280"/>
    </row>
    <row r="36" spans="2:68" x14ac:dyDescent="0.25">
      <c r="B36" s="280" t="s">
        <v>272</v>
      </c>
      <c r="C36" s="280"/>
      <c r="D36" s="280"/>
      <c r="E36" s="280"/>
      <c r="F36" s="280"/>
      <c r="G36" s="280"/>
      <c r="H36" s="280"/>
      <c r="I36" s="280"/>
      <c r="J36" s="280"/>
      <c r="K36" s="305"/>
      <c r="L36" s="305"/>
      <c r="M36" s="314" t="str">
        <f>IF(首頁!N8="增益效果放大", IF(首頁!Q8=0, 首頁!P8, 首頁!Q8), "")</f>
        <v/>
      </c>
      <c r="N36" s="314" t="str">
        <f>IF(首頁!N9="增益效果放大", IF(首頁!Q9=0, 首頁!P9, 首頁!Q9), "")</f>
        <v/>
      </c>
      <c r="O36" s="305"/>
      <c r="P36" s="305"/>
      <c r="Q36" s="314" t="str">
        <f>IF(首頁!N10="增益效果放大", IF(首頁!Q10=0, 首頁!P10, 首頁!Q10), "")</f>
        <v/>
      </c>
      <c r="R36" s="314" t="str">
        <f>IF(首頁!N11="增益效果放大", IF(首頁!Q11=0, 首頁!P11, 首頁!Q11), "")</f>
        <v/>
      </c>
      <c r="S36" s="305"/>
      <c r="T36" s="316" t="str">
        <f>IF(首頁!K5="永恆大魔術師", 15, "")</f>
        <v/>
      </c>
      <c r="U36" s="305"/>
      <c r="V36" s="305"/>
      <c r="W36" s="305"/>
      <c r="X36" s="305"/>
      <c r="Y36" s="305"/>
      <c r="Z36" s="305"/>
      <c r="AA36" s="305"/>
      <c r="AB36" s="305"/>
      <c r="AC36" s="305"/>
      <c r="AD36" s="305"/>
      <c r="AE36" s="305"/>
      <c r="AF36" s="305"/>
      <c r="AG36" s="305"/>
      <c r="AH36" s="323" t="str">
        <f>IF(首頁!D5="安可表演", IF(首頁!D47="增益效果%", IF(首頁!D6="", 法寶卡!J27, INDEX(法寶卡!F27:J27, 1, 首頁!D6)),  ""), "")</f>
        <v/>
      </c>
      <c r="AI36" s="305"/>
      <c r="AJ36" s="305"/>
      <c r="AK36" s="305"/>
      <c r="AL36" s="305"/>
      <c r="AM36" s="305"/>
      <c r="AN36" s="305"/>
      <c r="AO36" s="305"/>
      <c r="AP36" s="305"/>
      <c r="AQ36" s="305"/>
      <c r="AR36" s="305"/>
      <c r="AS36" s="305"/>
      <c r="AT36" s="305"/>
      <c r="AU36" s="305"/>
      <c r="AV36" s="305"/>
      <c r="AW36" s="305"/>
      <c r="AX36" s="305"/>
      <c r="AY36" s="305"/>
      <c r="AZ36" s="305"/>
      <c r="BA36" s="305"/>
      <c r="BB36" s="305"/>
      <c r="BC36" s="305"/>
      <c r="BD36" s="305"/>
      <c r="BE36" s="305"/>
      <c r="BF36" s="305"/>
      <c r="BG36" s="305"/>
      <c r="BH36" s="305"/>
      <c r="BI36" s="305"/>
      <c r="BJ36" s="305"/>
      <c r="BK36" s="305"/>
      <c r="BL36" s="305"/>
      <c r="BM36" s="305"/>
      <c r="BN36" s="320" t="str">
        <f>IF(首頁!D3="搖滾巨星", 15, "")</f>
        <v/>
      </c>
      <c r="BO36" s="280" t="s">
        <v>272</v>
      </c>
      <c r="BP36" s="324">
        <f>SUM(C36:INDEX(36:36, COLUMN(BP36)-2))</f>
        <v>0</v>
      </c>
    </row>
    <row r="37" spans="2:68" x14ac:dyDescent="0.25">
      <c r="B37" s="280"/>
      <c r="C37" s="280"/>
      <c r="D37" s="280"/>
      <c r="E37" s="280"/>
      <c r="F37" s="280"/>
      <c r="G37" s="280"/>
      <c r="H37" s="280"/>
      <c r="I37" s="280"/>
      <c r="J37" s="280"/>
      <c r="K37" s="305"/>
      <c r="L37" s="305"/>
      <c r="M37" s="305"/>
      <c r="N37" s="305"/>
      <c r="O37" s="305"/>
      <c r="P37" s="305"/>
      <c r="Q37" s="305"/>
      <c r="R37" s="305"/>
      <c r="S37" s="305"/>
      <c r="T37" s="305"/>
      <c r="U37" s="305"/>
      <c r="V37" s="305"/>
      <c r="W37" s="305"/>
      <c r="X37" s="305"/>
      <c r="Y37" s="305"/>
      <c r="Z37" s="305"/>
      <c r="AA37" s="305"/>
      <c r="AB37" s="305"/>
      <c r="AC37" s="305"/>
      <c r="AD37" s="305"/>
      <c r="AE37" s="305"/>
      <c r="AF37" s="305"/>
      <c r="AG37" s="305"/>
      <c r="AH37" s="305"/>
      <c r="AI37" s="305"/>
      <c r="AJ37" s="305"/>
      <c r="AK37" s="305"/>
      <c r="AL37" s="305"/>
      <c r="AM37" s="305"/>
      <c r="AN37" s="305"/>
      <c r="AO37" s="305"/>
      <c r="AP37" s="305"/>
      <c r="AQ37" s="305"/>
      <c r="AR37" s="305"/>
      <c r="AS37" s="305"/>
      <c r="AT37" s="305"/>
      <c r="AU37" s="305"/>
      <c r="AV37" s="305"/>
      <c r="AW37" s="305"/>
      <c r="AX37" s="305"/>
      <c r="AY37" s="305"/>
      <c r="AZ37" s="305"/>
      <c r="BA37" s="305"/>
      <c r="BB37" s="305"/>
      <c r="BC37" s="305"/>
      <c r="BD37" s="305"/>
      <c r="BE37" s="305"/>
      <c r="BF37" s="305"/>
      <c r="BG37" s="305"/>
      <c r="BH37" s="305"/>
      <c r="BI37" s="305"/>
      <c r="BJ37" s="305"/>
      <c r="BK37" s="305"/>
      <c r="BL37" s="305"/>
      <c r="BM37" s="305"/>
      <c r="BN37" s="305"/>
      <c r="BO37" s="280"/>
      <c r="BP37" s="280"/>
    </row>
    <row r="38" spans="2:68" x14ac:dyDescent="0.25">
      <c r="B38" s="280" t="s">
        <v>110</v>
      </c>
      <c r="C38" s="280"/>
      <c r="D38" s="280"/>
      <c r="E38" s="280"/>
      <c r="F38" s="280"/>
      <c r="G38" s="280"/>
      <c r="H38" s="315" t="str">
        <f>IF(OR(首頁!K5="幽靈海盜", 首頁!K5="璀璨流星雨"), IF(首頁!M6="", 套裝!D20, INDEX(套裝!D20:H20, 1, 首頁!M6)), "")</f>
        <v/>
      </c>
      <c r="I38" s="280"/>
      <c r="J38" s="280"/>
      <c r="K38" s="305"/>
      <c r="L38" s="305"/>
      <c r="M38" s="314" t="str">
        <f>IF(首頁!N8="減益效果放大", IF(首頁!Q8=0, 首頁!P8, 首頁!Q8), "")</f>
        <v/>
      </c>
      <c r="N38" s="314" t="str">
        <f>IF(首頁!N9="減益效果放大", IF(首頁!Q9=0, 首頁!P9, 首頁!Q9), "")</f>
        <v/>
      </c>
      <c r="O38" s="305"/>
      <c r="P38" s="305"/>
      <c r="Q38" s="314" t="str">
        <f>IF(首頁!N10="減益效果放大", IF(首頁!Q10=0, 首頁!P10, 首頁!Q10), "")</f>
        <v/>
      </c>
      <c r="R38" s="314" t="str">
        <f>IF(首頁!N11="減益效果放大", IF(首頁!Q11=0, 首頁!P11, 首頁!Q11), "")</f>
        <v/>
      </c>
      <c r="S38" s="305"/>
      <c r="T38" s="316" t="str">
        <f>IF(首頁!K5="黃金禮服", 15, "")</f>
        <v/>
      </c>
      <c r="U38" s="305"/>
      <c r="V38" s="305"/>
      <c r="W38" s="305"/>
      <c r="X38" s="305"/>
      <c r="Y38" s="305"/>
      <c r="Z38" s="305"/>
      <c r="AA38" s="305"/>
      <c r="AB38" s="305"/>
      <c r="AC38" s="305"/>
      <c r="AD38" s="305"/>
      <c r="AE38" s="305"/>
      <c r="AF38" s="305"/>
      <c r="AG38" s="305"/>
      <c r="AH38" s="305"/>
      <c r="AI38" s="323" t="str">
        <f>IF(首頁!D5="非凡的誕生", IF(首頁!D6="", 法寶卡!J28, INDEX(法寶卡!F28:J28, 1, 首頁!D6)), "")</f>
        <v/>
      </c>
      <c r="AJ38" s="305"/>
      <c r="AK38" s="305"/>
      <c r="AL38" s="305"/>
      <c r="AM38" s="305"/>
      <c r="AN38" s="305"/>
      <c r="AO38" s="305"/>
      <c r="AP38" s="305"/>
      <c r="AQ38" s="305"/>
      <c r="AR38" s="305"/>
      <c r="AS38" s="305"/>
      <c r="AT38" s="305"/>
      <c r="AU38" s="305"/>
      <c r="AV38" s="305"/>
      <c r="AW38" s="305"/>
      <c r="AX38" s="305"/>
      <c r="AY38" s="305"/>
      <c r="AZ38" s="305"/>
      <c r="BA38" s="305"/>
      <c r="BB38" s="305"/>
      <c r="BC38" s="305"/>
      <c r="BD38" s="305"/>
      <c r="BE38" s="305"/>
      <c r="BF38" s="305"/>
      <c r="BG38" s="305"/>
      <c r="BH38" s="305"/>
      <c r="BI38" s="305"/>
      <c r="BJ38" s="305"/>
      <c r="BK38" s="305"/>
      <c r="BL38" s="305"/>
      <c r="BM38" s="305"/>
      <c r="BN38" s="320" t="str">
        <f>IF(OR(首頁!D3="黑莓", 首頁!D3="糖果球"), 15, "")</f>
        <v/>
      </c>
      <c r="BO38" s="280" t="s">
        <v>110</v>
      </c>
      <c r="BP38" s="324">
        <f>SUM(C38:INDEX(38:38, COLUMN(BP38)-2))</f>
        <v>0</v>
      </c>
    </row>
    <row r="39" spans="2:68" x14ac:dyDescent="0.25">
      <c r="B39" s="280"/>
      <c r="C39" s="280"/>
      <c r="D39" s="280"/>
      <c r="E39" s="280"/>
      <c r="F39" s="280"/>
      <c r="G39" s="280"/>
      <c r="H39" s="280"/>
      <c r="I39" s="280"/>
      <c r="J39" s="280"/>
      <c r="K39" s="305"/>
      <c r="L39" s="305"/>
      <c r="M39" s="305"/>
      <c r="N39" s="305"/>
      <c r="O39" s="305"/>
      <c r="P39" s="305"/>
      <c r="Q39" s="305"/>
      <c r="R39" s="305"/>
      <c r="S39" s="305"/>
      <c r="T39" s="305"/>
      <c r="U39" s="305"/>
      <c r="V39" s="305"/>
      <c r="W39" s="305"/>
      <c r="X39" s="305"/>
      <c r="Y39" s="305"/>
      <c r="Z39" s="305"/>
      <c r="AA39" s="305"/>
      <c r="AB39" s="305"/>
      <c r="AC39" s="305"/>
      <c r="AD39" s="305"/>
      <c r="AE39" s="305"/>
      <c r="AF39" s="305"/>
      <c r="AG39" s="305"/>
      <c r="AH39" s="305"/>
      <c r="AI39" s="305"/>
      <c r="AJ39" s="305"/>
      <c r="AK39" s="305"/>
      <c r="AL39" s="305"/>
      <c r="AM39" s="305"/>
      <c r="AN39" s="305"/>
      <c r="AO39" s="305"/>
      <c r="AP39" s="305"/>
      <c r="AQ39" s="305"/>
      <c r="AR39" s="305"/>
      <c r="AS39" s="305"/>
      <c r="AT39" s="305"/>
      <c r="AU39" s="305"/>
      <c r="AV39" s="305"/>
      <c r="AW39" s="305"/>
      <c r="AX39" s="305"/>
      <c r="AY39" s="305"/>
      <c r="AZ39" s="305"/>
      <c r="BA39" s="305"/>
      <c r="BB39" s="305"/>
      <c r="BC39" s="305"/>
      <c r="BD39" s="305"/>
      <c r="BE39" s="305"/>
      <c r="BF39" s="305"/>
      <c r="BG39" s="305"/>
      <c r="BH39" s="305"/>
      <c r="BI39" s="305"/>
      <c r="BJ39" s="305"/>
      <c r="BK39" s="305"/>
      <c r="BL39" s="305"/>
      <c r="BM39" s="305"/>
      <c r="BN39" s="305"/>
      <c r="BO39" s="280"/>
      <c r="BP39" s="280"/>
    </row>
    <row r="40" spans="2:68" x14ac:dyDescent="0.25">
      <c r="B40" s="280" t="s">
        <v>111</v>
      </c>
      <c r="C40" s="280"/>
      <c r="D40" s="280"/>
      <c r="E40" s="280"/>
      <c r="F40" s="280"/>
      <c r="G40" s="280"/>
      <c r="H40" s="280"/>
      <c r="I40" s="280"/>
      <c r="J40" s="280"/>
      <c r="K40" s="305"/>
      <c r="L40" s="305"/>
      <c r="M40" s="314" t="str">
        <f>IF(首頁!N8="恢復量", IF(首頁!Q8=0, 首頁!P8, 首頁!Q8), "")</f>
        <v/>
      </c>
      <c r="N40" s="314" t="str">
        <f>IF(首頁!N9="恢復量", IF(首頁!Q9=0, 首頁!P9, 首頁!Q9), "")</f>
        <v/>
      </c>
      <c r="O40" s="305"/>
      <c r="P40" s="315" t="str">
        <f>IF(首頁!K5="璀璨流星雨", IF(首頁!M10="", 套裝!N26, INDEX(套裝!N26:R26, 1, 首頁!M10)), "")</f>
        <v/>
      </c>
      <c r="Q40" s="314" t="str">
        <f>IF(首頁!N10="恢復量", IF(首頁!Q10=0, 首頁!P10, 首頁!Q10), "")</f>
        <v/>
      </c>
      <c r="R40" s="314" t="str">
        <f>IF(首頁!N11="恢復量", IF(首頁!Q11=0, 首頁!P11, 首頁!Q11), "")</f>
        <v/>
      </c>
      <c r="S40" s="305"/>
      <c r="T40" s="316" t="str">
        <f>IF(首頁!K5="東方草藥", 20, "")</f>
        <v/>
      </c>
      <c r="U40" s="305"/>
      <c r="V40" s="305"/>
      <c r="W40" s="323">
        <f>IF(首頁!D5="下午茶", IF(首頁!D6="", 法寶卡!J5, INDEX(法寶卡!F5:J5, 1, 首頁!D6)), 0)</f>
        <v>0</v>
      </c>
      <c r="X40" s="305"/>
      <c r="Y40" s="305"/>
      <c r="Z40" s="305"/>
      <c r="AA40" s="305"/>
      <c r="AB40" s="305"/>
      <c r="AC40" s="305"/>
      <c r="AD40" s="305"/>
      <c r="AE40" s="305"/>
      <c r="AF40" s="305"/>
      <c r="AG40" s="305"/>
      <c r="AH40" s="305"/>
      <c r="AI40" s="305"/>
      <c r="AJ40" s="305"/>
      <c r="AK40" s="305"/>
      <c r="AL40" s="305"/>
      <c r="AM40" s="305"/>
      <c r="AN40" s="305"/>
      <c r="AO40" s="305"/>
      <c r="AP40" s="305"/>
      <c r="AQ40" s="305"/>
      <c r="AR40" s="305"/>
      <c r="AS40" s="305"/>
      <c r="AT40" s="305"/>
      <c r="AU40" s="305"/>
      <c r="AV40" s="305"/>
      <c r="AW40" s="305"/>
      <c r="AX40" s="305"/>
      <c r="AY40" s="305"/>
      <c r="AZ40" s="305"/>
      <c r="BA40" s="305"/>
      <c r="BB40" s="305"/>
      <c r="BC40" s="305"/>
      <c r="BD40" s="305"/>
      <c r="BE40" s="305"/>
      <c r="BF40" s="305"/>
      <c r="BG40" s="305"/>
      <c r="BH40" s="305"/>
      <c r="BI40" s="305"/>
      <c r="BJ40" s="305"/>
      <c r="BK40" s="305"/>
      <c r="BL40" s="305"/>
      <c r="BM40" s="305"/>
      <c r="BN40" s="320" t="str">
        <f>IF(首頁!D3="天使", 15, "")</f>
        <v/>
      </c>
      <c r="BO40" s="280" t="s">
        <v>111</v>
      </c>
      <c r="BP40" s="324">
        <f>SUM(C40:INDEX(40:40, COLUMN(BP40)-2))</f>
        <v>0</v>
      </c>
    </row>
    <row r="41" spans="2:68" x14ac:dyDescent="0.25">
      <c r="B41" s="280"/>
      <c r="C41" s="280"/>
      <c r="D41" s="280"/>
      <c r="E41" s="280"/>
      <c r="F41" s="280"/>
      <c r="G41" s="280"/>
      <c r="H41" s="280"/>
      <c r="I41" s="280"/>
      <c r="J41" s="280"/>
      <c r="K41" s="305"/>
      <c r="L41" s="305"/>
      <c r="M41" s="305"/>
      <c r="N41" s="305"/>
      <c r="O41" s="305"/>
      <c r="P41" s="305"/>
      <c r="Q41" s="305"/>
      <c r="R41" s="305"/>
      <c r="S41" s="305"/>
      <c r="T41" s="305"/>
      <c r="U41" s="305"/>
      <c r="V41" s="305"/>
      <c r="W41" s="305"/>
      <c r="X41" s="305"/>
      <c r="Y41" s="305"/>
      <c r="Z41" s="305"/>
      <c r="AA41" s="305"/>
      <c r="AB41" s="305"/>
      <c r="AC41" s="305"/>
      <c r="AD41" s="305"/>
      <c r="AE41" s="305"/>
      <c r="AF41" s="305"/>
      <c r="AG41" s="305"/>
      <c r="AH41" s="305"/>
      <c r="AI41" s="305"/>
      <c r="AJ41" s="305"/>
      <c r="AK41" s="305"/>
      <c r="AL41" s="305"/>
      <c r="AM41" s="305"/>
      <c r="AN41" s="305"/>
      <c r="AO41" s="305"/>
      <c r="AP41" s="305"/>
      <c r="AQ41" s="305"/>
      <c r="AR41" s="305"/>
      <c r="AS41" s="305"/>
      <c r="AT41" s="305"/>
      <c r="AU41" s="305"/>
      <c r="AV41" s="305"/>
      <c r="AW41" s="305"/>
      <c r="AX41" s="305"/>
      <c r="AY41" s="305"/>
      <c r="AZ41" s="305"/>
      <c r="BA41" s="305"/>
      <c r="BB41" s="305"/>
      <c r="BC41" s="305"/>
      <c r="BD41" s="305"/>
      <c r="BE41" s="305"/>
      <c r="BF41" s="305"/>
      <c r="BG41" s="305"/>
      <c r="BH41" s="305"/>
      <c r="BI41" s="305"/>
      <c r="BJ41" s="305"/>
      <c r="BK41" s="305"/>
      <c r="BL41" s="305"/>
      <c r="BM41" s="305"/>
      <c r="BN41" s="305"/>
      <c r="BO41" s="280"/>
      <c r="BP41" s="280"/>
    </row>
    <row r="42" spans="2:68" x14ac:dyDescent="0.25">
      <c r="B42" s="280" t="s">
        <v>269</v>
      </c>
      <c r="C42" s="280"/>
      <c r="D42" s="280"/>
      <c r="E42" s="280"/>
      <c r="F42" s="280"/>
      <c r="G42" s="280"/>
      <c r="H42" s="280"/>
      <c r="I42" s="280"/>
      <c r="J42" s="280"/>
      <c r="K42" s="305"/>
      <c r="L42" s="305"/>
      <c r="M42" s="314" t="str">
        <f>IF(首頁!N8="護盾強度", IF(首頁!Q8=0, 首頁!P8, 首頁!Q8), "")</f>
        <v/>
      </c>
      <c r="N42" s="314" t="str">
        <f>IF(首頁!N9="護盾強度", IF(首頁!Q9=0, 首頁!P9, 首頁!Q9), "")</f>
        <v/>
      </c>
      <c r="O42" s="305"/>
      <c r="P42" s="305"/>
      <c r="Q42" s="314" t="str">
        <f>IF(首頁!N10="護盾強度", IF(首頁!Q10=0, 首頁!P10, 首頁!Q10), "")</f>
        <v/>
      </c>
      <c r="R42" s="314" t="str">
        <f>IF(首頁!N11="護盾強度", IF(首頁!Q11=0, 首頁!P11, 首頁!Q11), "")</f>
        <v/>
      </c>
      <c r="S42" s="305"/>
      <c r="T42" s="316" t="str">
        <f>IF(首頁!K5="雪怪的暴風雪", 20, "")</f>
        <v/>
      </c>
      <c r="U42" s="305"/>
      <c r="V42" s="305"/>
      <c r="W42" s="305"/>
      <c r="X42" s="305"/>
      <c r="Y42" s="305"/>
      <c r="Z42" s="305"/>
      <c r="AA42" s="305"/>
      <c r="AB42" s="305"/>
      <c r="AC42" s="305"/>
      <c r="AD42" s="305"/>
      <c r="AE42" s="305"/>
      <c r="AF42" s="305"/>
      <c r="AG42" s="323">
        <f>IF(首頁!D5="嗜辣一族", IF(首頁!D6="", 法寶卡!J23, INDEX(法寶卡!F23:J23, 1, 首頁!D6)), 0)</f>
        <v>0</v>
      </c>
      <c r="AH42" s="305"/>
      <c r="AI42" s="305"/>
      <c r="AJ42" s="305"/>
      <c r="AK42" s="305"/>
      <c r="AL42" s="305"/>
      <c r="AM42" s="305"/>
      <c r="AN42" s="305"/>
      <c r="AO42" s="305"/>
      <c r="AP42" s="305"/>
      <c r="AQ42" s="305"/>
      <c r="AR42" s="305"/>
      <c r="AS42" s="305"/>
      <c r="AT42" s="305"/>
      <c r="AU42" s="323" t="str">
        <f>IF(首頁!D5="暖身", IF(首頁!D6="", 法寶卡!J48, INDEX(法寶卡!F48:J48, 1, 首頁!D6)), "")</f>
        <v/>
      </c>
      <c r="AV42" s="305"/>
      <c r="AW42" s="305"/>
      <c r="AX42" s="305"/>
      <c r="AY42" s="305"/>
      <c r="AZ42" s="305"/>
      <c r="BA42" s="305"/>
      <c r="BB42" s="305"/>
      <c r="BC42" s="305"/>
      <c r="BD42" s="305"/>
      <c r="BE42" s="305"/>
      <c r="BF42" s="305"/>
      <c r="BG42" s="305"/>
      <c r="BH42" s="305"/>
      <c r="BI42" s="305"/>
      <c r="BJ42" s="305"/>
      <c r="BK42" s="305"/>
      <c r="BL42" s="305"/>
      <c r="BM42" s="305"/>
      <c r="BN42" s="320" t="str">
        <f>IF(首頁!D3="肌肉", 15, "")</f>
        <v/>
      </c>
      <c r="BO42" s="280" t="s">
        <v>269</v>
      </c>
      <c r="BP42" s="324">
        <f>SUM(C42:INDEX(42:42, COLUMN(BP42)-2))</f>
        <v>0</v>
      </c>
    </row>
    <row r="43" spans="2:68" x14ac:dyDescent="0.25">
      <c r="B43" s="280"/>
      <c r="C43" s="280"/>
      <c r="D43" s="280"/>
      <c r="E43" s="280"/>
      <c r="F43" s="280"/>
      <c r="G43" s="280"/>
      <c r="H43" s="280"/>
      <c r="I43" s="280"/>
      <c r="J43" s="280"/>
      <c r="K43" s="305"/>
      <c r="L43" s="305"/>
      <c r="M43" s="305"/>
      <c r="N43" s="305"/>
      <c r="O43" s="305"/>
      <c r="P43" s="305"/>
      <c r="Q43" s="305"/>
      <c r="R43" s="305"/>
      <c r="S43" s="305"/>
      <c r="T43" s="305"/>
      <c r="U43" s="305"/>
      <c r="V43" s="305"/>
      <c r="W43" s="305"/>
      <c r="X43" s="305"/>
      <c r="Y43" s="305"/>
      <c r="Z43" s="305"/>
      <c r="AA43" s="305"/>
      <c r="AB43" s="305"/>
      <c r="AC43" s="305"/>
      <c r="AD43" s="305"/>
      <c r="AE43" s="305"/>
      <c r="AF43" s="305"/>
      <c r="AG43" s="305"/>
      <c r="AH43" s="305"/>
      <c r="AI43" s="305"/>
      <c r="AJ43" s="305"/>
      <c r="AK43" s="305"/>
      <c r="AL43" s="305"/>
      <c r="AM43" s="305"/>
      <c r="AN43" s="305"/>
      <c r="AO43" s="305"/>
      <c r="AP43" s="305"/>
      <c r="AQ43" s="305"/>
      <c r="AR43" s="305"/>
      <c r="AS43" s="305"/>
      <c r="AT43" s="305"/>
      <c r="AU43" s="305"/>
      <c r="AV43" s="305"/>
      <c r="AW43" s="305"/>
      <c r="AX43" s="305"/>
      <c r="AY43" s="305"/>
      <c r="AZ43" s="305"/>
      <c r="BA43" s="305"/>
      <c r="BB43" s="305"/>
      <c r="BC43" s="305"/>
      <c r="BD43" s="305"/>
      <c r="BE43" s="305"/>
      <c r="BF43" s="305"/>
      <c r="BG43" s="305"/>
      <c r="BH43" s="305"/>
      <c r="BI43" s="305"/>
      <c r="BJ43" s="305"/>
      <c r="BK43" s="305"/>
      <c r="BL43" s="305"/>
      <c r="BM43" s="305"/>
      <c r="BN43" s="305"/>
      <c r="BO43" s="280"/>
      <c r="BP43" s="280"/>
    </row>
    <row r="44" spans="2:68" x14ac:dyDescent="0.25">
      <c r="B44" s="280" t="s">
        <v>270</v>
      </c>
      <c r="C44" s="280"/>
      <c r="D44" s="280"/>
      <c r="E44" s="280"/>
      <c r="F44" s="280"/>
      <c r="G44" s="280"/>
      <c r="H44" s="280"/>
      <c r="I44" s="280"/>
      <c r="J44" s="280"/>
      <c r="K44" s="305"/>
      <c r="L44" s="327" t="str">
        <f>IF(首頁!K5="甜蜜白糖", IF(首頁!M8="", 套裝!I11, INDEX(套裝!I11:M11, 1, 首頁!M8)), "")</f>
        <v/>
      </c>
      <c r="M44" s="314" t="str">
        <f>IF(首頁!N8="防禦力穿透", IF(首頁!Q8=0, 首頁!P8, 首頁!Q8), "")</f>
        <v/>
      </c>
      <c r="N44" s="314" t="str">
        <f>IF(首頁!N9="防禦力穿透", IF(首頁!Q9=0, 首頁!P9, 首頁!Q9), "")</f>
        <v/>
      </c>
      <c r="O44" s="305"/>
      <c r="P44" s="305"/>
      <c r="Q44" s="314" t="str">
        <f>IF(首頁!N10="防禦力穿透", IF(首頁!Q10=0, 首頁!P10, 首頁!Q10), "")</f>
        <v/>
      </c>
      <c r="R44" s="314" t="str">
        <f>IF(首頁!N11="防禦力穿透", IF(首頁!Q11=0, 首頁!P11, 首頁!Q11), "")</f>
        <v/>
      </c>
      <c r="S44" s="305"/>
      <c r="T44" s="305"/>
      <c r="U44" s="305"/>
      <c r="V44" s="305"/>
      <c r="W44" s="305"/>
      <c r="X44" s="305"/>
      <c r="Y44" s="305"/>
      <c r="Z44" s="305"/>
      <c r="AA44" s="305"/>
      <c r="AB44" s="305"/>
      <c r="AC44" s="305"/>
      <c r="AD44" s="305"/>
      <c r="AE44" s="305"/>
      <c r="AF44" s="305"/>
      <c r="AG44" s="305"/>
      <c r="AH44" s="305"/>
      <c r="AI44" s="305"/>
      <c r="AJ44" s="305"/>
      <c r="AK44" s="305"/>
      <c r="AL44" s="305"/>
      <c r="AM44" s="305"/>
      <c r="AN44" s="305"/>
      <c r="AO44" s="305"/>
      <c r="AP44" s="305"/>
      <c r="AQ44" s="305"/>
      <c r="AR44" s="305"/>
      <c r="AS44" s="305"/>
      <c r="AT44" s="305"/>
      <c r="AU44" s="305"/>
      <c r="AV44" s="305"/>
      <c r="AW44" s="305"/>
      <c r="AX44" s="305"/>
      <c r="AY44" s="305"/>
      <c r="AZ44" s="305"/>
      <c r="BA44" s="305"/>
      <c r="BB44" s="305"/>
      <c r="BC44" s="305"/>
      <c r="BD44" s="305"/>
      <c r="BE44" s="305"/>
      <c r="BF44" s="305"/>
      <c r="BG44" s="305"/>
      <c r="BH44" s="305"/>
      <c r="BI44" s="305"/>
      <c r="BJ44" s="305"/>
      <c r="BK44" s="305"/>
      <c r="BL44" s="305"/>
      <c r="BM44" s="305"/>
      <c r="BN44" s="305"/>
      <c r="BO44" s="280" t="s">
        <v>270</v>
      </c>
      <c r="BP44" s="324">
        <f>SUM(C44:INDEX(44:44, COLUMN(BP44)-2))</f>
        <v>0</v>
      </c>
    </row>
    <row r="45" spans="2:68" x14ac:dyDescent="0.25">
      <c r="B45" s="280"/>
      <c r="C45" s="280"/>
      <c r="D45" s="280"/>
      <c r="E45" s="280"/>
      <c r="F45" s="280"/>
      <c r="G45" s="280"/>
      <c r="H45" s="280"/>
      <c r="I45" s="280"/>
      <c r="J45" s="280"/>
      <c r="K45" s="305"/>
      <c r="L45" s="305"/>
      <c r="M45" s="305"/>
      <c r="N45" s="305"/>
      <c r="O45" s="305"/>
      <c r="P45" s="305"/>
      <c r="Q45" s="305"/>
      <c r="R45" s="305"/>
      <c r="S45" s="305"/>
      <c r="T45" s="305"/>
      <c r="U45" s="305"/>
      <c r="V45" s="305"/>
      <c r="W45" s="305"/>
      <c r="X45" s="305"/>
      <c r="Y45" s="305"/>
      <c r="Z45" s="305"/>
      <c r="AA45" s="305"/>
      <c r="AB45" s="305"/>
      <c r="AC45" s="305"/>
      <c r="AD45" s="305"/>
      <c r="AE45" s="305"/>
      <c r="AF45" s="305"/>
      <c r="AG45" s="305"/>
      <c r="AH45" s="305"/>
      <c r="AI45" s="305"/>
      <c r="AJ45" s="305"/>
      <c r="AK45" s="305"/>
      <c r="AL45" s="305"/>
      <c r="AM45" s="305"/>
      <c r="AN45" s="305"/>
      <c r="AO45" s="305"/>
      <c r="AP45" s="305"/>
      <c r="AQ45" s="305"/>
      <c r="AR45" s="305"/>
      <c r="AS45" s="305"/>
      <c r="AT45" s="305"/>
      <c r="AU45" s="305"/>
      <c r="AV45" s="305"/>
      <c r="AW45" s="305"/>
      <c r="AX45" s="305"/>
      <c r="AY45" s="305"/>
      <c r="AZ45" s="305"/>
      <c r="BA45" s="305"/>
      <c r="BB45" s="305"/>
      <c r="BC45" s="305"/>
      <c r="BD45" s="305"/>
      <c r="BE45" s="305"/>
      <c r="BF45" s="305"/>
      <c r="BG45" s="305"/>
      <c r="BH45" s="305"/>
      <c r="BI45" s="305"/>
      <c r="BJ45" s="305"/>
      <c r="BK45" s="305"/>
      <c r="BL45" s="305"/>
      <c r="BM45" s="305"/>
      <c r="BN45" s="305"/>
      <c r="BO45" s="280"/>
      <c r="BP45" s="280"/>
    </row>
    <row r="46" spans="2:68" x14ac:dyDescent="0.25">
      <c r="B46" s="280" t="s">
        <v>271</v>
      </c>
      <c r="C46" s="280"/>
      <c r="D46" s="280"/>
      <c r="E46" s="280"/>
      <c r="F46" s="280"/>
      <c r="G46" s="280"/>
      <c r="H46" s="280"/>
      <c r="I46" s="280"/>
      <c r="J46" s="280"/>
      <c r="K46" s="305"/>
      <c r="L46" s="305"/>
      <c r="M46" s="314" t="str">
        <f>IF(首頁!N8="所受傷害量減少", IF(首頁!Q8=0, 首頁!P8, 首頁!Q8), "")</f>
        <v/>
      </c>
      <c r="N46" s="314" t="str">
        <f>IF(首頁!N9="所受傷害量減少", IF(首頁!Q9=0, 首頁!P9, 首頁!Q9), "")</f>
        <v/>
      </c>
      <c r="O46" s="305"/>
      <c r="P46" s="327" t="str">
        <f>IF(首頁!K5="雪怪的暴風雪", IF(首頁!M10="", 套裝!N17, INDEX(套裝!N17:R17, 1, 首頁!M10)), "")</f>
        <v/>
      </c>
      <c r="Q46" s="314" t="str">
        <f>IF(首頁!N10="所受傷害量減少", IF(首頁!Q10=0, 首頁!P10, 首頁!Q10), "")</f>
        <v/>
      </c>
      <c r="R46" s="314" t="str">
        <f>IF(首頁!N11="所受傷害量減少", IF(首頁!Q11=0, 首頁!P11, 首頁!Q11), "")</f>
        <v/>
      </c>
      <c r="S46" s="305"/>
      <c r="T46" s="305"/>
      <c r="U46" s="305"/>
      <c r="V46" s="305"/>
      <c r="W46" s="305"/>
      <c r="X46" s="305"/>
      <c r="Y46" s="305"/>
      <c r="Z46" s="305"/>
      <c r="AA46" s="305"/>
      <c r="AB46" s="305"/>
      <c r="AC46" s="305"/>
      <c r="AD46" s="305"/>
      <c r="AE46" s="305"/>
      <c r="AF46" s="305"/>
      <c r="AG46" s="305"/>
      <c r="AH46" s="305"/>
      <c r="AI46" s="305"/>
      <c r="AJ46" s="305"/>
      <c r="AK46" s="305"/>
      <c r="AL46" s="305"/>
      <c r="AM46" s="305"/>
      <c r="AN46" s="305"/>
      <c r="AO46" s="305"/>
      <c r="AP46" s="305"/>
      <c r="AQ46" s="305"/>
      <c r="AR46" s="305"/>
      <c r="AS46" s="305"/>
      <c r="AT46" s="305"/>
      <c r="AU46" s="305"/>
      <c r="AV46" s="305"/>
      <c r="AW46" s="305"/>
      <c r="AX46" s="305"/>
      <c r="AY46" s="305"/>
      <c r="AZ46" s="305"/>
      <c r="BA46" s="305"/>
      <c r="BB46" s="305"/>
      <c r="BC46" s="305"/>
      <c r="BD46" s="305"/>
      <c r="BE46" s="305"/>
      <c r="BF46" s="305"/>
      <c r="BG46" s="305"/>
      <c r="BH46" s="305"/>
      <c r="BI46" s="305"/>
      <c r="BJ46" s="305"/>
      <c r="BK46" s="305"/>
      <c r="BL46" s="305"/>
      <c r="BM46" s="305"/>
      <c r="BN46" s="305"/>
      <c r="BO46" s="280" t="s">
        <v>271</v>
      </c>
      <c r="BP46" s="324">
        <f>SUM(C46:INDEX(46:46, COLUMN(BP46)-2))</f>
        <v>0</v>
      </c>
    </row>
    <row r="47" spans="2:68" x14ac:dyDescent="0.25">
      <c r="B47" s="280"/>
      <c r="C47" s="280"/>
      <c r="D47" s="280"/>
      <c r="E47" s="280"/>
      <c r="F47" s="280"/>
      <c r="G47" s="280"/>
      <c r="H47" s="280"/>
      <c r="I47" s="280"/>
      <c r="J47" s="280"/>
      <c r="K47" s="305"/>
      <c r="L47" s="305"/>
      <c r="M47" s="280"/>
      <c r="N47" s="280"/>
      <c r="O47" s="305"/>
      <c r="P47" s="305"/>
      <c r="Q47" s="280"/>
      <c r="R47" s="280"/>
      <c r="S47" s="305"/>
      <c r="T47" s="305"/>
      <c r="U47" s="305"/>
      <c r="V47" s="305"/>
      <c r="W47" s="305"/>
      <c r="X47" s="305"/>
      <c r="Y47" s="305"/>
      <c r="Z47" s="305"/>
      <c r="AA47" s="305"/>
      <c r="AB47" s="305"/>
      <c r="AC47" s="305"/>
      <c r="AD47" s="305"/>
      <c r="AE47" s="305"/>
      <c r="AF47" s="305"/>
      <c r="AG47" s="305"/>
      <c r="AH47" s="305"/>
      <c r="AI47" s="305"/>
      <c r="AJ47" s="305"/>
      <c r="AK47" s="305"/>
      <c r="AL47" s="305"/>
      <c r="AM47" s="305"/>
      <c r="AN47" s="305"/>
      <c r="AO47" s="305"/>
      <c r="AP47" s="305"/>
      <c r="AQ47" s="305"/>
      <c r="AR47" s="305"/>
      <c r="AS47" s="305"/>
      <c r="AT47" s="305"/>
      <c r="AU47" s="305"/>
      <c r="AV47" s="305"/>
      <c r="AW47" s="305"/>
      <c r="AX47" s="305"/>
      <c r="AY47" s="305"/>
      <c r="AZ47" s="305"/>
      <c r="BA47" s="305"/>
      <c r="BB47" s="305"/>
      <c r="BC47" s="305"/>
      <c r="BD47" s="305"/>
      <c r="BE47" s="305"/>
      <c r="BF47" s="305"/>
      <c r="BG47" s="305"/>
      <c r="BH47" s="305"/>
      <c r="BI47" s="305"/>
      <c r="BJ47" s="305"/>
      <c r="BK47" s="305"/>
      <c r="BL47" s="305"/>
      <c r="BM47" s="305"/>
      <c r="BN47" s="305"/>
      <c r="BO47" s="280"/>
      <c r="BP47" s="280"/>
    </row>
    <row r="48" spans="2:68" x14ac:dyDescent="0.25">
      <c r="B48" s="280" t="s">
        <v>313</v>
      </c>
      <c r="C48" s="280"/>
      <c r="D48" s="280"/>
      <c r="E48" s="280"/>
      <c r="F48" s="280"/>
      <c r="G48" s="280"/>
      <c r="H48" s="280"/>
      <c r="I48" s="280"/>
      <c r="J48" s="280"/>
      <c r="K48" s="305"/>
      <c r="L48" s="305"/>
      <c r="M48" s="280"/>
      <c r="N48" s="280"/>
      <c r="O48" s="305"/>
      <c r="P48" s="305"/>
      <c r="Q48" s="280"/>
      <c r="R48" s="280"/>
      <c r="S48" s="305"/>
      <c r="T48" s="305"/>
      <c r="U48" s="305"/>
      <c r="V48" s="305"/>
      <c r="W48" s="305"/>
      <c r="X48" s="305"/>
      <c r="Y48" s="305"/>
      <c r="Z48" s="305"/>
      <c r="AA48" s="305"/>
      <c r="AB48" s="305"/>
      <c r="AC48" s="305"/>
      <c r="AD48" s="305"/>
      <c r="AE48" s="305"/>
      <c r="AF48" s="305"/>
      <c r="AG48" s="305"/>
      <c r="AH48" s="323" t="str">
        <f>IF(首頁!D5="安可表演", IF(首頁!D47="移速%", IF(首頁!D6="", 法寶卡!J26, INDEX(法寶卡!F26:J26, 1, 首頁!D6)),  ""), "")</f>
        <v/>
      </c>
      <c r="AI48" s="305"/>
      <c r="AJ48" s="305"/>
      <c r="AK48" s="305"/>
      <c r="AL48" s="305"/>
      <c r="AM48" s="305"/>
      <c r="AN48" s="305"/>
      <c r="AO48" s="305"/>
      <c r="AP48" s="305"/>
      <c r="AQ48" s="305"/>
      <c r="AR48" s="305"/>
      <c r="AS48" s="305"/>
      <c r="AT48" s="305"/>
      <c r="AU48" s="305"/>
      <c r="AV48" s="305"/>
      <c r="AW48" s="305"/>
      <c r="AX48" s="305"/>
      <c r="AY48" s="305"/>
      <c r="AZ48" s="305"/>
      <c r="BA48" s="305"/>
      <c r="BB48" s="305"/>
      <c r="BC48" s="305"/>
      <c r="BD48" s="305"/>
      <c r="BE48" s="305"/>
      <c r="BF48" s="305"/>
      <c r="BG48" s="305"/>
      <c r="BH48" s="305"/>
      <c r="BI48" s="305"/>
      <c r="BJ48" s="305"/>
      <c r="BK48" s="305"/>
      <c r="BL48" s="305"/>
      <c r="BM48" s="305"/>
      <c r="BN48" s="305"/>
      <c r="BO48" s="280" t="s">
        <v>313</v>
      </c>
      <c r="BP48" s="324">
        <f>SUM(C48:INDEX(48:48, COLUMN(BP48)-2))</f>
        <v>0</v>
      </c>
    </row>
    <row r="49" spans="2:68" x14ac:dyDescent="0.25">
      <c r="B49" s="280"/>
      <c r="C49" s="280"/>
      <c r="D49" s="280"/>
      <c r="E49" s="280"/>
      <c r="F49" s="280"/>
      <c r="G49" s="280"/>
      <c r="H49" s="280"/>
      <c r="I49" s="280"/>
      <c r="J49" s="280"/>
      <c r="K49" s="305"/>
      <c r="L49" s="305"/>
      <c r="M49" s="280"/>
      <c r="N49" s="280"/>
      <c r="O49" s="305"/>
      <c r="P49" s="305"/>
      <c r="Q49" s="280"/>
      <c r="R49" s="280"/>
      <c r="S49" s="305"/>
      <c r="T49" s="305"/>
      <c r="U49" s="305"/>
      <c r="V49" s="305"/>
      <c r="W49" s="305"/>
      <c r="X49" s="305"/>
      <c r="Y49" s="305"/>
      <c r="Z49" s="305"/>
      <c r="AA49" s="305"/>
      <c r="AB49" s="305"/>
      <c r="AC49" s="305"/>
      <c r="AD49" s="305"/>
      <c r="AE49" s="305"/>
      <c r="AF49" s="305"/>
      <c r="AG49" s="305"/>
      <c r="AH49" s="305"/>
      <c r="AI49" s="305"/>
      <c r="AJ49" s="305"/>
      <c r="AK49" s="305"/>
      <c r="AL49" s="305"/>
      <c r="AM49" s="305"/>
      <c r="AN49" s="305"/>
      <c r="AO49" s="305"/>
      <c r="AP49" s="305"/>
      <c r="AQ49" s="305"/>
      <c r="AR49" s="305"/>
      <c r="AS49" s="305"/>
      <c r="AT49" s="305"/>
      <c r="AU49" s="305"/>
      <c r="AV49" s="305"/>
      <c r="AW49" s="305"/>
      <c r="AX49" s="305"/>
      <c r="AY49" s="305"/>
      <c r="AZ49" s="305"/>
      <c r="BA49" s="305"/>
      <c r="BB49" s="305"/>
      <c r="BC49" s="305"/>
      <c r="BD49" s="305"/>
      <c r="BE49" s="305"/>
      <c r="BF49" s="305"/>
      <c r="BG49" s="305"/>
      <c r="BH49" s="305"/>
      <c r="BI49" s="305"/>
      <c r="BJ49" s="305"/>
      <c r="BK49" s="305"/>
      <c r="BL49" s="305"/>
      <c r="BM49" s="305"/>
      <c r="BN49" s="305"/>
      <c r="BO49" s="280"/>
      <c r="BP49" s="280"/>
    </row>
    <row r="50" spans="2:68" x14ac:dyDescent="0.25">
      <c r="B50" s="280" t="s">
        <v>458</v>
      </c>
      <c r="C50" s="280"/>
      <c r="D50" s="280"/>
      <c r="E50" s="280"/>
      <c r="F50" s="280"/>
      <c r="G50" s="280"/>
      <c r="H50" s="315" t="str">
        <f>IF(首頁!K5="詭異的獵人", IF(首頁!M6="", 套裝!D35, INDEX(套裝!D35:H35, 1, 首頁!M6)), "")</f>
        <v/>
      </c>
      <c r="I50" s="280"/>
      <c r="J50" s="280"/>
      <c r="K50" s="305"/>
      <c r="L50" s="305"/>
      <c r="M50" s="280"/>
      <c r="N50" s="280"/>
      <c r="O50" s="305"/>
      <c r="P50" s="305"/>
      <c r="Q50" s="280"/>
      <c r="R50" s="280"/>
      <c r="S50" s="305"/>
      <c r="T50" s="305"/>
      <c r="U50" s="316" t="str">
        <f>IF(AND(首頁!G32=TRUE, 首頁!K5="詭異的獵人"), 15, "")</f>
        <v/>
      </c>
      <c r="V50" s="305"/>
      <c r="W50" s="305"/>
      <c r="X50" s="305"/>
      <c r="Y50" s="305"/>
      <c r="Z50" s="305"/>
      <c r="AA50" s="305"/>
      <c r="AB50" s="305"/>
      <c r="AC50" s="305"/>
      <c r="AD50" s="305"/>
      <c r="AE50" s="305"/>
      <c r="AF50" s="305"/>
      <c r="AG50" s="305"/>
      <c r="AH50" s="305"/>
      <c r="AI50" s="305"/>
      <c r="AJ50" s="305"/>
      <c r="AK50" s="305"/>
      <c r="AL50" s="305"/>
      <c r="AM50" s="305"/>
      <c r="AN50" s="305"/>
      <c r="AO50" s="305"/>
      <c r="AP50" s="305"/>
      <c r="AQ50" s="305"/>
      <c r="AR50" s="305"/>
      <c r="AS50" s="305"/>
      <c r="AT50" s="305"/>
      <c r="AU50" s="305"/>
      <c r="AV50" s="305"/>
      <c r="AW50" s="305"/>
      <c r="AX50" s="305"/>
      <c r="AY50" s="305"/>
      <c r="AZ50" s="305"/>
      <c r="BA50" s="305"/>
      <c r="BB50" s="305"/>
      <c r="BC50" s="305"/>
      <c r="BD50" s="305"/>
      <c r="BE50" s="305"/>
      <c r="BF50" s="305"/>
      <c r="BG50" s="305"/>
      <c r="BH50" s="305"/>
      <c r="BI50" s="305"/>
      <c r="BJ50" s="305"/>
      <c r="BK50" s="305"/>
      <c r="BL50" s="305"/>
      <c r="BM50" s="305"/>
      <c r="BN50" s="305"/>
      <c r="BO50" s="280" t="s">
        <v>458</v>
      </c>
      <c r="BP50" s="324">
        <f>SUM(C50:INDEX(50:50, COLUMN(BP50)-2))</f>
        <v>0</v>
      </c>
    </row>
    <row r="51" spans="2:68" x14ac:dyDescent="0.25">
      <c r="B51" s="280"/>
      <c r="C51" s="280"/>
      <c r="D51" s="280"/>
      <c r="E51" s="280"/>
      <c r="F51" s="280"/>
      <c r="G51" s="280"/>
      <c r="H51" s="280"/>
      <c r="I51" s="280"/>
      <c r="J51" s="280"/>
      <c r="K51" s="305"/>
      <c r="L51" s="305"/>
      <c r="M51" s="280"/>
      <c r="N51" s="280"/>
      <c r="O51" s="305"/>
      <c r="P51" s="305"/>
      <c r="Q51" s="280"/>
      <c r="R51" s="280"/>
      <c r="S51" s="305"/>
      <c r="T51" s="305"/>
      <c r="U51" s="305"/>
      <c r="V51" s="305"/>
      <c r="W51" s="305"/>
      <c r="X51" s="305"/>
      <c r="Y51" s="305"/>
      <c r="Z51" s="305"/>
      <c r="AA51" s="305"/>
      <c r="AB51" s="305"/>
      <c r="AC51" s="305"/>
      <c r="AD51" s="305"/>
      <c r="AE51" s="305"/>
      <c r="AF51" s="305"/>
      <c r="AG51" s="305"/>
      <c r="AH51" s="305"/>
      <c r="AI51" s="305"/>
      <c r="AJ51" s="305"/>
      <c r="AK51" s="305"/>
      <c r="AL51" s="305"/>
      <c r="AM51" s="305"/>
      <c r="AN51" s="305"/>
      <c r="AO51" s="305"/>
      <c r="AP51" s="305"/>
      <c r="AQ51" s="305"/>
      <c r="AR51" s="305"/>
      <c r="AS51" s="305"/>
      <c r="AT51" s="305"/>
      <c r="AU51" s="305"/>
      <c r="AV51" s="305"/>
      <c r="AW51" s="305"/>
      <c r="AX51" s="305"/>
      <c r="AY51" s="305"/>
      <c r="AZ51" s="305"/>
      <c r="BA51" s="305"/>
      <c r="BB51" s="305"/>
      <c r="BC51" s="305"/>
      <c r="BD51" s="305"/>
      <c r="BE51" s="305"/>
      <c r="BF51" s="305"/>
      <c r="BG51" s="305"/>
      <c r="BH51" s="305"/>
      <c r="BI51" s="305"/>
      <c r="BJ51" s="305"/>
      <c r="BK51" s="305"/>
      <c r="BL51" s="305"/>
      <c r="BM51" s="305"/>
      <c r="BN51" s="305"/>
      <c r="BO51" s="280"/>
      <c r="BP51" s="280"/>
    </row>
    <row r="52" spans="2:68" x14ac:dyDescent="0.25">
      <c r="B52" s="384" t="s">
        <v>264</v>
      </c>
      <c r="C52" s="280"/>
      <c r="D52" s="280"/>
      <c r="E52" s="280"/>
      <c r="F52" s="280"/>
      <c r="G52" s="280"/>
      <c r="H52" s="327" t="str">
        <f>IF(首頁!K5="被遺忘的英雄", IF(首頁!M8="", 套裝!I29, INDEX(套裝!I29:M29, 1, 首頁!M8)), "")</f>
        <v/>
      </c>
      <c r="I52" s="280"/>
      <c r="J52" s="280"/>
      <c r="K52" s="305"/>
      <c r="L52" s="327" t="str">
        <f>IF(首頁!K5="黃金禮服", IF(首頁!M8="", 套裝!I29, INDEX(套裝!I29:M29, 1, 首頁!M8)), "")</f>
        <v/>
      </c>
      <c r="M52" s="280"/>
      <c r="N52" s="280"/>
      <c r="O52" s="305"/>
      <c r="P52" s="305"/>
      <c r="Q52" s="280"/>
      <c r="R52" s="280"/>
      <c r="S52" s="305"/>
      <c r="T52" s="305"/>
      <c r="U52" s="316" t="str">
        <f>IF(AND(首頁!G32=TRUE, 首頁!K5="被遺忘的英雄"), 30, "")</f>
        <v/>
      </c>
      <c r="V52" s="305"/>
      <c r="W52" s="305"/>
      <c r="X52" s="305"/>
      <c r="Y52" s="305"/>
      <c r="Z52" s="305"/>
      <c r="AA52" s="305"/>
      <c r="AB52" s="305"/>
      <c r="AC52" s="305"/>
      <c r="AD52" s="323">
        <f>IF(首頁!D5="無法回頭的選擇", IF(首頁!D6="", 法寶卡!J19, INDEX(法寶卡!F19:J19, 1, 首頁!D6)), 0)</f>
        <v>0</v>
      </c>
      <c r="AE52" s="305"/>
      <c r="AF52" s="305"/>
      <c r="AG52" s="305"/>
      <c r="AH52" s="305"/>
      <c r="AI52" s="305"/>
      <c r="AJ52" s="305"/>
      <c r="AK52" s="305"/>
      <c r="AL52" s="305"/>
      <c r="AM52" s="305"/>
      <c r="AN52" s="305"/>
      <c r="AO52" s="305"/>
      <c r="AP52" s="305"/>
      <c r="AQ52" s="305"/>
      <c r="AR52" s="305"/>
      <c r="AS52" s="305"/>
      <c r="AT52" s="305"/>
      <c r="AU52" s="305"/>
      <c r="AV52" s="305"/>
      <c r="AW52" s="305"/>
      <c r="AX52" s="305"/>
      <c r="AY52" s="305"/>
      <c r="AZ52" s="305"/>
      <c r="BA52" s="305"/>
      <c r="BB52" s="305"/>
      <c r="BC52" s="305"/>
      <c r="BD52" s="305"/>
      <c r="BE52" s="305"/>
      <c r="BF52" s="305"/>
      <c r="BG52" s="305"/>
      <c r="BH52" s="305"/>
      <c r="BI52" s="305"/>
      <c r="BJ52" s="305"/>
      <c r="BK52" s="305"/>
      <c r="BL52" s="305"/>
      <c r="BM52" s="305"/>
      <c r="BN52" s="305"/>
      <c r="BO52" s="280" t="s">
        <v>264</v>
      </c>
      <c r="BP52" s="324">
        <f>SUM(C52:INDEX(52:52, COLUMN(BP52)-2))</f>
        <v>0</v>
      </c>
    </row>
    <row r="53" spans="2:68" x14ac:dyDescent="0.25">
      <c r="B53" s="280"/>
      <c r="C53" s="280"/>
      <c r="D53" s="280"/>
      <c r="E53" s="280"/>
      <c r="F53" s="280"/>
      <c r="G53" s="280"/>
      <c r="H53" s="280"/>
      <c r="I53" s="280"/>
      <c r="J53" s="280"/>
      <c r="K53" s="305"/>
      <c r="L53" s="305"/>
      <c r="M53" s="280"/>
      <c r="N53" s="280"/>
      <c r="O53" s="305"/>
      <c r="P53" s="305"/>
      <c r="Q53" s="280"/>
      <c r="R53" s="280"/>
      <c r="S53" s="305"/>
      <c r="T53" s="305"/>
      <c r="U53" s="305"/>
      <c r="V53" s="305"/>
      <c r="W53" s="305"/>
      <c r="X53" s="305"/>
      <c r="Y53" s="305"/>
      <c r="Z53" s="305"/>
      <c r="AA53" s="305"/>
      <c r="AB53" s="305"/>
      <c r="AC53" s="305"/>
      <c r="AD53" s="305"/>
      <c r="AE53" s="305"/>
      <c r="AF53" s="305"/>
      <c r="AG53" s="305"/>
      <c r="AH53" s="305"/>
      <c r="AI53" s="305"/>
      <c r="AJ53" s="305"/>
      <c r="AK53" s="305"/>
      <c r="AL53" s="305"/>
      <c r="AM53" s="305"/>
      <c r="AN53" s="305"/>
      <c r="AO53" s="305"/>
      <c r="AP53" s="305"/>
      <c r="AQ53" s="305"/>
      <c r="AR53" s="305"/>
      <c r="AS53" s="305"/>
      <c r="AT53" s="305"/>
      <c r="AU53" s="305"/>
      <c r="AV53" s="305"/>
      <c r="AW53" s="305"/>
      <c r="AX53" s="305"/>
      <c r="AY53" s="305"/>
      <c r="AZ53" s="305"/>
      <c r="BA53" s="305"/>
      <c r="BB53" s="305"/>
      <c r="BC53" s="305"/>
      <c r="BD53" s="305"/>
      <c r="BE53" s="305"/>
      <c r="BF53" s="305"/>
      <c r="BG53" s="305"/>
      <c r="BH53" s="305"/>
      <c r="BI53" s="305"/>
      <c r="BJ53" s="305"/>
      <c r="BK53" s="305"/>
      <c r="BL53" s="305"/>
      <c r="BM53" s="305"/>
      <c r="BN53" s="305"/>
      <c r="BO53" s="280"/>
      <c r="BP53" s="280"/>
    </row>
    <row r="54" spans="2:68" x14ac:dyDescent="0.25">
      <c r="B54" s="280" t="s">
        <v>441</v>
      </c>
      <c r="C54" s="280"/>
      <c r="D54" s="280"/>
      <c r="E54" s="280"/>
      <c r="F54" s="280"/>
      <c r="G54" s="280"/>
      <c r="H54" s="280"/>
      <c r="I54" s="280"/>
      <c r="J54" s="280"/>
      <c r="K54" s="305"/>
      <c r="L54" s="305"/>
      <c r="M54" s="280"/>
      <c r="N54" s="280"/>
      <c r="O54" s="305"/>
      <c r="P54" s="305"/>
      <c r="Q54" s="280"/>
      <c r="R54" s="280"/>
      <c r="S54" s="305"/>
      <c r="T54" s="305"/>
      <c r="U54" s="305"/>
      <c r="V54" s="305"/>
      <c r="W54" s="305"/>
      <c r="X54" s="305"/>
      <c r="Y54" s="305"/>
      <c r="Z54" s="305"/>
      <c r="AA54" s="305"/>
      <c r="AB54" s="323" t="str">
        <f>IF(首頁!D5="被遺忘的魔法書的秘密", IF(首頁!D6="", 法寶卡!J14, INDEX(法寶卡!F14:J14, 1, 首頁!D6)), "")</f>
        <v/>
      </c>
      <c r="AC54" s="305"/>
      <c r="AD54" s="305"/>
      <c r="AE54" s="305"/>
      <c r="AF54" s="305"/>
      <c r="AG54" s="305"/>
      <c r="AH54" s="305"/>
      <c r="AI54" s="305"/>
      <c r="AJ54" s="305"/>
      <c r="AK54" s="305"/>
      <c r="AL54" s="305"/>
      <c r="AM54" s="305"/>
      <c r="AN54" s="305"/>
      <c r="AO54" s="305"/>
      <c r="AP54" s="305"/>
      <c r="AQ54" s="305"/>
      <c r="AR54" s="305"/>
      <c r="AS54" s="305"/>
      <c r="AT54" s="305"/>
      <c r="AU54" s="305"/>
      <c r="AV54" s="305"/>
      <c r="AW54" s="305"/>
      <c r="AX54" s="305"/>
      <c r="AY54" s="305"/>
      <c r="AZ54" s="305"/>
      <c r="BA54" s="305"/>
      <c r="BB54" s="305"/>
      <c r="BC54" s="305"/>
      <c r="BD54" s="305"/>
      <c r="BE54" s="305"/>
      <c r="BF54" s="305"/>
      <c r="BG54" s="305"/>
      <c r="BH54" s="305"/>
      <c r="BI54" s="305"/>
      <c r="BJ54" s="305"/>
      <c r="BK54" s="305"/>
      <c r="BL54" s="305"/>
      <c r="BM54" s="305"/>
      <c r="BN54" s="305"/>
      <c r="BO54" s="280" t="s">
        <v>441</v>
      </c>
      <c r="BP54" s="324">
        <f>SUM(C54:INDEX(54:54, COLUMN(BP54)-2))</f>
        <v>0</v>
      </c>
    </row>
    <row r="55" spans="2:68" x14ac:dyDescent="0.25">
      <c r="B55" s="280"/>
      <c r="C55" s="280"/>
      <c r="D55" s="280"/>
      <c r="E55" s="280"/>
      <c r="F55" s="280"/>
      <c r="G55" s="280"/>
      <c r="H55" s="280"/>
      <c r="I55" s="280"/>
      <c r="J55" s="280"/>
      <c r="K55" s="305"/>
      <c r="L55" s="305"/>
      <c r="M55" s="280"/>
      <c r="N55" s="280"/>
      <c r="O55" s="305"/>
      <c r="P55" s="305"/>
      <c r="Q55" s="280"/>
      <c r="R55" s="280"/>
      <c r="S55" s="305"/>
      <c r="T55" s="305"/>
      <c r="U55" s="305"/>
      <c r="V55" s="305"/>
      <c r="W55" s="305"/>
      <c r="X55" s="305"/>
      <c r="Y55" s="305"/>
      <c r="Z55" s="305"/>
      <c r="AA55" s="305"/>
      <c r="AB55" s="305"/>
      <c r="AC55" s="305"/>
      <c r="AD55" s="305"/>
      <c r="AE55" s="305"/>
      <c r="AF55" s="305"/>
      <c r="AG55" s="305"/>
      <c r="AH55" s="305"/>
      <c r="AI55" s="305"/>
      <c r="AJ55" s="305"/>
      <c r="AK55" s="305"/>
      <c r="AL55" s="305"/>
      <c r="AM55" s="305"/>
      <c r="AN55" s="305"/>
      <c r="AO55" s="305"/>
      <c r="AP55" s="305"/>
      <c r="AQ55" s="305"/>
      <c r="AR55" s="305"/>
      <c r="AS55" s="305"/>
      <c r="AT55" s="305"/>
      <c r="AU55" s="305"/>
      <c r="AV55" s="305"/>
      <c r="AW55" s="305"/>
      <c r="AX55" s="305"/>
      <c r="AY55" s="305"/>
      <c r="AZ55" s="305"/>
      <c r="BA55" s="305"/>
      <c r="BB55" s="305"/>
      <c r="BC55" s="305"/>
      <c r="BD55" s="305"/>
      <c r="BE55" s="305"/>
      <c r="BF55" s="305"/>
      <c r="BG55" s="305"/>
      <c r="BH55" s="305"/>
      <c r="BI55" s="305"/>
      <c r="BJ55" s="305"/>
      <c r="BK55" s="305"/>
      <c r="BL55" s="305"/>
      <c r="BM55" s="305"/>
      <c r="BN55" s="305"/>
      <c r="BO55" s="280"/>
      <c r="BP55" s="280"/>
    </row>
    <row r="56" spans="2:68" x14ac:dyDescent="0.25">
      <c r="B56" s="280" t="s">
        <v>314</v>
      </c>
      <c r="C56" s="280"/>
      <c r="D56" s="280"/>
      <c r="E56" s="280"/>
      <c r="F56" s="280"/>
      <c r="G56" s="280"/>
      <c r="H56" s="280"/>
      <c r="I56" s="280"/>
      <c r="J56" s="280"/>
      <c r="K56" s="305"/>
      <c r="L56" s="305"/>
      <c r="M56" s="280"/>
      <c r="N56" s="280"/>
      <c r="O56" s="305"/>
      <c r="P56" s="305"/>
      <c r="Q56" s="280"/>
      <c r="R56" s="280"/>
      <c r="S56" s="305"/>
      <c r="T56" s="305"/>
      <c r="U56" s="305"/>
      <c r="V56" s="305"/>
      <c r="W56" s="305"/>
      <c r="X56" s="305"/>
      <c r="Y56" s="305"/>
      <c r="Z56" s="305"/>
      <c r="AA56" s="305"/>
      <c r="AB56" s="305"/>
      <c r="AC56" s="305"/>
      <c r="AD56" s="305"/>
      <c r="AE56" s="305"/>
      <c r="AF56" s="305"/>
      <c r="AG56" s="305"/>
      <c r="AH56" s="305"/>
      <c r="AI56" s="323" t="str">
        <f>IF(首頁!D5="非凡的誕生", IF(首頁!G15=TRUE, IF(首頁!D6="", 法寶卡!J29, INDEX(法寶卡!F29:J29, 1, 首頁!D6)),  ""), "")</f>
        <v/>
      </c>
      <c r="AJ56" s="305"/>
      <c r="AK56" s="305"/>
      <c r="AL56" s="305"/>
      <c r="AM56" s="305"/>
      <c r="AN56" s="305"/>
      <c r="AO56" s="305"/>
      <c r="AP56" s="305"/>
      <c r="AQ56" s="305"/>
      <c r="AR56" s="305"/>
      <c r="AS56" s="305"/>
      <c r="AT56" s="305"/>
      <c r="AU56" s="305"/>
      <c r="AV56" s="305"/>
      <c r="AW56" s="305"/>
      <c r="AX56" s="305"/>
      <c r="AY56" s="305"/>
      <c r="AZ56" s="305"/>
      <c r="BA56" s="305"/>
      <c r="BB56" s="305"/>
      <c r="BC56" s="305"/>
      <c r="BD56" s="305"/>
      <c r="BE56" s="305"/>
      <c r="BF56" s="305"/>
      <c r="BG56" s="305"/>
      <c r="BH56" s="305"/>
      <c r="BI56" s="305"/>
      <c r="BJ56" s="305"/>
      <c r="BK56" s="305"/>
      <c r="BL56" s="305"/>
      <c r="BM56" s="305"/>
      <c r="BN56" s="305"/>
      <c r="BO56" s="280" t="s">
        <v>314</v>
      </c>
      <c r="BP56" s="324">
        <f>SUM(C56:INDEX(56:56, COLUMN(BP56)-2))</f>
        <v>0</v>
      </c>
    </row>
    <row r="57" spans="2:68" x14ac:dyDescent="0.25">
      <c r="B57" s="280"/>
      <c r="C57" s="280"/>
      <c r="D57" s="280"/>
      <c r="E57" s="280"/>
      <c r="F57" s="280"/>
      <c r="G57" s="280"/>
      <c r="H57" s="280"/>
      <c r="I57" s="280"/>
      <c r="J57" s="280"/>
      <c r="K57" s="305"/>
      <c r="L57" s="305"/>
      <c r="M57" s="280"/>
      <c r="N57" s="280"/>
      <c r="O57" s="305"/>
      <c r="P57" s="305"/>
      <c r="Q57" s="280"/>
      <c r="R57" s="280"/>
      <c r="S57" s="305"/>
      <c r="T57" s="305"/>
      <c r="U57" s="305"/>
      <c r="V57" s="305"/>
      <c r="W57" s="305"/>
      <c r="X57" s="305"/>
      <c r="Y57" s="305"/>
      <c r="Z57" s="305"/>
      <c r="AA57" s="305"/>
      <c r="AB57" s="305"/>
      <c r="AC57" s="305"/>
      <c r="AD57" s="305"/>
      <c r="AE57" s="305"/>
      <c r="AF57" s="305"/>
      <c r="AG57" s="305"/>
      <c r="AH57" s="305"/>
      <c r="AI57" s="305"/>
      <c r="AJ57" s="305"/>
      <c r="AK57" s="305"/>
      <c r="AL57" s="305"/>
      <c r="AM57" s="305"/>
      <c r="AN57" s="305"/>
      <c r="AO57" s="305"/>
      <c r="AP57" s="305"/>
      <c r="AQ57" s="305"/>
      <c r="AR57" s="305"/>
      <c r="AS57" s="305"/>
      <c r="AT57" s="305"/>
      <c r="AU57" s="305"/>
      <c r="AV57" s="305"/>
      <c r="AW57" s="305"/>
      <c r="AX57" s="305"/>
      <c r="AY57" s="305"/>
      <c r="AZ57" s="305"/>
      <c r="BA57" s="305"/>
      <c r="BB57" s="305"/>
      <c r="BC57" s="305"/>
      <c r="BD57" s="305"/>
      <c r="BE57" s="305"/>
      <c r="BF57" s="305"/>
      <c r="BG57" s="305"/>
      <c r="BH57" s="305"/>
      <c r="BI57" s="305"/>
      <c r="BJ57" s="305"/>
      <c r="BK57" s="305"/>
      <c r="BL57" s="305"/>
      <c r="BM57" s="305"/>
      <c r="BN57" s="305"/>
      <c r="BO57" s="280"/>
      <c r="BP57" s="280"/>
    </row>
    <row r="58" spans="2:68" x14ac:dyDescent="0.25">
      <c r="B58" s="280" t="s">
        <v>265</v>
      </c>
      <c r="C58" s="280"/>
      <c r="D58" s="280"/>
      <c r="E58" s="280"/>
      <c r="F58" s="280"/>
      <c r="G58" s="280"/>
      <c r="H58" s="280"/>
      <c r="I58" s="280"/>
      <c r="J58" s="280"/>
      <c r="K58" s="305"/>
      <c r="L58" s="305"/>
      <c r="M58" s="280"/>
      <c r="N58" s="280"/>
      <c r="O58" s="305"/>
      <c r="P58" s="327" t="str">
        <f>IF(首頁!K5="黃金禮服", IF(首頁!M10="", 套裝!N29, INDEX(套裝!N29:R29, 1, 首頁!M10)), "")</f>
        <v/>
      </c>
      <c r="Q58" s="280"/>
      <c r="R58" s="280"/>
      <c r="S58" s="305"/>
      <c r="T58" s="305"/>
      <c r="U58" s="316"/>
      <c r="V58" s="305"/>
      <c r="W58" s="305"/>
      <c r="X58" s="305"/>
      <c r="Y58" s="305"/>
      <c r="Z58" s="305"/>
      <c r="AA58" s="305"/>
      <c r="AB58" s="323" t="str">
        <f>IF(首頁!D5="被遺忘的魔法書的秘密", IF(首頁!D6="", 法寶卡!J15, INDEX(法寶卡!F15:J15, 1, 首頁!D6)), "")</f>
        <v/>
      </c>
      <c r="AC58" s="305"/>
      <c r="AD58" s="323">
        <f>IF(首頁!D5="無法回頭的選擇", IF(首頁!D6="", 法寶卡!J19, INDEX(法寶卡!F19:J19, 1, 首頁!D6)), 0)</f>
        <v>0</v>
      </c>
      <c r="AE58" s="305"/>
      <c r="AF58" s="305"/>
      <c r="AG58" s="305"/>
      <c r="AH58" s="305"/>
      <c r="AI58" s="305"/>
      <c r="AJ58" s="305"/>
      <c r="AK58" s="305"/>
      <c r="AL58" s="305"/>
      <c r="AM58" s="305"/>
      <c r="AN58" s="305"/>
      <c r="AO58" s="305"/>
      <c r="AP58" s="305"/>
      <c r="AQ58" s="305"/>
      <c r="AR58" s="305"/>
      <c r="AS58" s="305"/>
      <c r="AT58" s="305"/>
      <c r="AU58" s="305"/>
      <c r="AV58" s="305"/>
      <c r="AW58" s="305"/>
      <c r="AX58" s="305"/>
      <c r="AY58" s="305"/>
      <c r="AZ58" s="305"/>
      <c r="BA58" s="305"/>
      <c r="BB58" s="305"/>
      <c r="BC58" s="305"/>
      <c r="BD58" s="305"/>
      <c r="BE58" s="305"/>
      <c r="BF58" s="305"/>
      <c r="BG58" s="305"/>
      <c r="BH58" s="305"/>
      <c r="BI58" s="305"/>
      <c r="BJ58" s="305"/>
      <c r="BK58" s="305"/>
      <c r="BL58" s="305"/>
      <c r="BM58" s="305"/>
      <c r="BN58" s="305"/>
      <c r="BO58" s="280" t="s">
        <v>265</v>
      </c>
      <c r="BP58" s="324">
        <f>SUM(C58:INDEX(58:58, COLUMN(BP58)-2))</f>
        <v>0</v>
      </c>
    </row>
    <row r="59" spans="2:68" x14ac:dyDescent="0.25">
      <c r="B59" s="280"/>
      <c r="C59" s="280"/>
      <c r="D59" s="280"/>
      <c r="E59" s="280"/>
      <c r="F59" s="280"/>
      <c r="G59" s="280"/>
      <c r="H59" s="280"/>
      <c r="I59" s="280"/>
      <c r="J59" s="280"/>
      <c r="K59" s="305"/>
      <c r="L59" s="305"/>
      <c r="M59" s="305"/>
      <c r="N59" s="305"/>
      <c r="O59" s="305"/>
      <c r="P59" s="305"/>
      <c r="Q59" s="305"/>
      <c r="R59" s="305"/>
      <c r="S59" s="305"/>
      <c r="T59" s="305"/>
      <c r="U59" s="305"/>
      <c r="V59" s="305"/>
      <c r="W59" s="305"/>
      <c r="X59" s="305"/>
      <c r="Y59" s="305"/>
      <c r="Z59" s="305"/>
      <c r="AA59" s="305"/>
      <c r="AB59" s="305"/>
      <c r="AC59" s="305"/>
      <c r="AD59" s="305"/>
      <c r="AE59" s="305"/>
      <c r="AF59" s="305"/>
      <c r="AG59" s="305"/>
      <c r="AH59" s="305"/>
      <c r="AI59" s="305"/>
      <c r="AJ59" s="305"/>
      <c r="AK59" s="305"/>
      <c r="AL59" s="305"/>
      <c r="AM59" s="305"/>
      <c r="AN59" s="305"/>
      <c r="AO59" s="305"/>
      <c r="AP59" s="305"/>
      <c r="AQ59" s="305"/>
      <c r="AR59" s="305"/>
      <c r="AS59" s="305"/>
      <c r="AT59" s="305"/>
      <c r="AU59" s="305"/>
      <c r="AV59" s="305"/>
      <c r="AW59" s="305"/>
      <c r="AX59" s="305"/>
      <c r="AY59" s="305"/>
      <c r="AZ59" s="305"/>
      <c r="BA59" s="305"/>
      <c r="BB59" s="305"/>
      <c r="BC59" s="305"/>
      <c r="BD59" s="305"/>
      <c r="BE59" s="305"/>
      <c r="BF59" s="305"/>
      <c r="BG59" s="305"/>
      <c r="BH59" s="305"/>
      <c r="BI59" s="305"/>
      <c r="BJ59" s="305"/>
      <c r="BK59" s="305"/>
      <c r="BL59" s="305"/>
      <c r="BM59" s="305"/>
      <c r="BN59" s="305"/>
      <c r="BO59" s="280"/>
      <c r="BP59" s="280"/>
    </row>
    <row r="60" spans="2:68" x14ac:dyDescent="0.25">
      <c r="B60" s="280" t="s">
        <v>310</v>
      </c>
      <c r="C60" s="280"/>
      <c r="D60" s="280"/>
      <c r="E60" s="280"/>
      <c r="F60" s="280"/>
      <c r="G60" s="280"/>
      <c r="H60" s="280"/>
      <c r="I60" s="280"/>
      <c r="J60" s="280"/>
      <c r="K60" s="305"/>
      <c r="L60" s="305"/>
      <c r="M60" s="305"/>
      <c r="N60" s="305"/>
      <c r="O60" s="305"/>
      <c r="P60" s="305"/>
      <c r="Q60" s="305"/>
      <c r="R60" s="305"/>
      <c r="S60" s="305"/>
      <c r="T60" s="305"/>
      <c r="U60" s="305"/>
      <c r="V60" s="305"/>
      <c r="W60" s="305"/>
      <c r="X60" s="305"/>
      <c r="Y60" s="305"/>
      <c r="Z60" s="305"/>
      <c r="AA60" s="305"/>
      <c r="AB60" s="323" t="str">
        <f>IF(首頁!D5="被遺忘的魔法書的秘密", IF(首頁!D6="", 法寶卡!J14, INDEX(法寶卡!F14:J14, 1, 首頁!D6)), "")</f>
        <v/>
      </c>
      <c r="AC60" s="305"/>
      <c r="AD60" s="305"/>
      <c r="AE60" s="305"/>
      <c r="AF60" s="305"/>
      <c r="AG60" s="305"/>
      <c r="AH60" s="305"/>
      <c r="AI60" s="305"/>
      <c r="AJ60" s="305"/>
      <c r="AK60" s="305"/>
      <c r="AL60" s="305"/>
      <c r="AM60" s="305"/>
      <c r="AN60" s="305"/>
      <c r="AO60" s="305"/>
      <c r="AP60" s="305"/>
      <c r="AQ60" s="305"/>
      <c r="AR60" s="305"/>
      <c r="AS60" s="305"/>
      <c r="AT60" s="305"/>
      <c r="AU60" s="305"/>
      <c r="AV60" s="305"/>
      <c r="AW60" s="305"/>
      <c r="AX60" s="305"/>
      <c r="AY60" s="305"/>
      <c r="AZ60" s="305"/>
      <c r="BA60" s="305"/>
      <c r="BB60" s="305"/>
      <c r="BC60" s="305"/>
      <c r="BD60" s="305"/>
      <c r="BE60" s="305"/>
      <c r="BF60" s="305"/>
      <c r="BG60" s="305"/>
      <c r="BH60" s="305"/>
      <c r="BI60" s="305"/>
      <c r="BJ60" s="305"/>
      <c r="BK60" s="305"/>
      <c r="BL60" s="305"/>
      <c r="BM60" s="305"/>
      <c r="BN60" s="305"/>
      <c r="BO60" s="280" t="s">
        <v>310</v>
      </c>
      <c r="BP60" s="324">
        <f>SUM(C60:INDEX(60:60, COLUMN(BP60)-2))</f>
        <v>0</v>
      </c>
    </row>
    <row r="61" spans="2:68" x14ac:dyDescent="0.25">
      <c r="B61" s="280"/>
      <c r="C61" s="280"/>
      <c r="D61" s="280"/>
      <c r="E61" s="280"/>
      <c r="F61" s="280"/>
      <c r="G61" s="280"/>
      <c r="H61" s="280"/>
      <c r="I61" s="280"/>
      <c r="J61" s="280"/>
      <c r="K61" s="305"/>
      <c r="L61" s="305"/>
      <c r="M61" s="305"/>
      <c r="N61" s="305"/>
      <c r="O61" s="305"/>
      <c r="P61" s="305"/>
      <c r="Q61" s="305"/>
      <c r="R61" s="305"/>
      <c r="S61" s="305"/>
      <c r="T61" s="305"/>
      <c r="U61" s="305"/>
      <c r="V61" s="305"/>
      <c r="W61" s="305"/>
      <c r="X61" s="305"/>
      <c r="Y61" s="305"/>
      <c r="Z61" s="305"/>
      <c r="AA61" s="305"/>
      <c r="AB61" s="305"/>
      <c r="AC61" s="305"/>
      <c r="AD61" s="305"/>
      <c r="AE61" s="305"/>
      <c r="AF61" s="305"/>
      <c r="AG61" s="305"/>
      <c r="AH61" s="305"/>
      <c r="AI61" s="305"/>
      <c r="AJ61" s="305"/>
      <c r="AK61" s="305"/>
      <c r="AL61" s="305"/>
      <c r="AM61" s="305"/>
      <c r="AN61" s="305"/>
      <c r="AO61" s="305"/>
      <c r="AP61" s="305"/>
      <c r="AQ61" s="305"/>
      <c r="AR61" s="305"/>
      <c r="AS61" s="305"/>
      <c r="AT61" s="305"/>
      <c r="AU61" s="305"/>
      <c r="AV61" s="305"/>
      <c r="AW61" s="305"/>
      <c r="AX61" s="305"/>
      <c r="AY61" s="305"/>
      <c r="AZ61" s="305"/>
      <c r="BA61" s="305"/>
      <c r="BB61" s="305"/>
      <c r="BC61" s="305"/>
      <c r="BD61" s="305"/>
      <c r="BE61" s="305"/>
      <c r="BF61" s="305"/>
      <c r="BG61" s="305"/>
      <c r="BH61" s="305"/>
      <c r="BI61" s="305"/>
      <c r="BJ61" s="305"/>
      <c r="BK61" s="305"/>
      <c r="BL61" s="305"/>
      <c r="BM61" s="305"/>
      <c r="BN61" s="305"/>
      <c r="BO61" s="280"/>
      <c r="BP61" s="280"/>
    </row>
    <row r="62" spans="2:68" x14ac:dyDescent="0.25">
      <c r="B62" s="280" t="s">
        <v>315</v>
      </c>
      <c r="C62" s="280"/>
      <c r="D62" s="280"/>
      <c r="E62" s="280"/>
      <c r="F62" s="280"/>
      <c r="G62" s="280"/>
      <c r="H62" s="280"/>
      <c r="I62" s="280"/>
      <c r="J62" s="280"/>
      <c r="K62" s="305"/>
      <c r="L62" s="305"/>
      <c r="M62" s="305"/>
      <c r="N62" s="305"/>
      <c r="O62" s="305"/>
      <c r="P62" s="305"/>
      <c r="Q62" s="305"/>
      <c r="R62" s="305"/>
      <c r="S62" s="305"/>
      <c r="T62" s="305"/>
      <c r="U62" s="305"/>
      <c r="V62" s="305"/>
      <c r="W62" s="305"/>
      <c r="X62" s="305"/>
      <c r="Y62" s="305"/>
      <c r="Z62" s="305"/>
      <c r="AA62" s="305"/>
      <c r="AB62" s="305"/>
      <c r="AC62" s="305"/>
      <c r="AD62" s="305"/>
      <c r="AE62" s="305"/>
      <c r="AF62" s="305"/>
      <c r="AG62" s="305"/>
      <c r="AH62" s="305"/>
      <c r="AI62" s="323" t="str">
        <f>IF(首頁!D5="非凡的誕生", IF(首頁!G15=TRUE, IF(首頁!D6="", 法寶卡!J30, INDEX(法寶卡!F30:J30, 1, 首頁!D6)),  ""), "")</f>
        <v/>
      </c>
      <c r="AJ62" s="305"/>
      <c r="AK62" s="305"/>
      <c r="AL62" s="305"/>
      <c r="AM62" s="305"/>
      <c r="AN62" s="305"/>
      <c r="AO62" s="305"/>
      <c r="AP62" s="305"/>
      <c r="AQ62" s="305"/>
      <c r="AR62" s="305"/>
      <c r="AS62" s="305"/>
      <c r="AT62" s="305"/>
      <c r="AU62" s="305"/>
      <c r="AV62" s="305"/>
      <c r="AW62" s="305"/>
      <c r="AX62" s="305"/>
      <c r="AY62" s="305"/>
      <c r="AZ62" s="305"/>
      <c r="BA62" s="305"/>
      <c r="BB62" s="305"/>
      <c r="BC62" s="305"/>
      <c r="BD62" s="305"/>
      <c r="BE62" s="305"/>
      <c r="BF62" s="305"/>
      <c r="BG62" s="305"/>
      <c r="BH62" s="305"/>
      <c r="BI62" s="305"/>
      <c r="BJ62" s="305"/>
      <c r="BK62" s="305"/>
      <c r="BL62" s="305"/>
      <c r="BM62" s="305"/>
      <c r="BN62" s="305"/>
      <c r="BO62" s="280" t="s">
        <v>315</v>
      </c>
      <c r="BP62" s="324">
        <f>SUM(C62:INDEX(62:62, COLUMN(BP62)-2))</f>
        <v>0</v>
      </c>
    </row>
    <row r="63" spans="2:68" x14ac:dyDescent="0.25">
      <c r="B63" s="280"/>
      <c r="C63" s="280"/>
      <c r="D63" s="280"/>
      <c r="E63" s="280"/>
      <c r="F63" s="280"/>
      <c r="G63" s="280"/>
      <c r="H63" s="280"/>
      <c r="I63" s="280"/>
      <c r="J63" s="280"/>
      <c r="K63" s="305"/>
      <c r="L63" s="305"/>
      <c r="M63" s="305"/>
      <c r="N63" s="305"/>
      <c r="O63" s="305"/>
      <c r="P63" s="305"/>
      <c r="Q63" s="305"/>
      <c r="R63" s="305"/>
      <c r="S63" s="305"/>
      <c r="T63" s="305"/>
      <c r="U63" s="305"/>
      <c r="V63" s="305"/>
      <c r="W63" s="305"/>
      <c r="X63" s="305"/>
      <c r="Y63" s="305"/>
      <c r="Z63" s="305"/>
      <c r="AA63" s="305"/>
      <c r="AB63" s="305"/>
      <c r="AC63" s="305"/>
      <c r="AD63" s="305"/>
      <c r="AE63" s="305"/>
      <c r="AF63" s="305"/>
      <c r="AG63" s="305"/>
      <c r="AH63" s="305"/>
      <c r="AI63" s="305"/>
      <c r="AJ63" s="305"/>
      <c r="AK63" s="305"/>
      <c r="AL63" s="305"/>
      <c r="AM63" s="305"/>
      <c r="AN63" s="305"/>
      <c r="AO63" s="305"/>
      <c r="AP63" s="305"/>
      <c r="AQ63" s="305"/>
      <c r="AR63" s="305"/>
      <c r="AS63" s="305"/>
      <c r="AT63" s="305"/>
      <c r="AU63" s="305"/>
      <c r="AV63" s="305"/>
      <c r="AW63" s="305"/>
      <c r="AX63" s="305"/>
      <c r="AY63" s="305"/>
      <c r="AZ63" s="305"/>
      <c r="BA63" s="305"/>
      <c r="BB63" s="305"/>
      <c r="BC63" s="305"/>
      <c r="BD63" s="305"/>
      <c r="BE63" s="305"/>
      <c r="BF63" s="305"/>
      <c r="BG63" s="305"/>
      <c r="BH63" s="305"/>
      <c r="BI63" s="305"/>
      <c r="BJ63" s="305"/>
      <c r="BK63" s="305"/>
      <c r="BL63" s="305"/>
      <c r="BM63" s="305"/>
      <c r="BN63" s="305"/>
      <c r="BO63" s="280"/>
      <c r="BP63" s="280"/>
    </row>
    <row r="64" spans="2:68" x14ac:dyDescent="0.25">
      <c r="B64" s="280" t="s">
        <v>359</v>
      </c>
      <c r="C64" s="280"/>
      <c r="D64" s="280"/>
      <c r="E64" s="280"/>
      <c r="F64" s="280"/>
      <c r="G64" s="280"/>
      <c r="H64" s="280"/>
      <c r="I64" s="280"/>
      <c r="J64" s="280"/>
      <c r="K64" s="305"/>
      <c r="L64" s="305"/>
      <c r="M64" s="305"/>
      <c r="N64" s="305"/>
      <c r="O64" s="305"/>
      <c r="P64" s="305"/>
      <c r="Q64" s="305"/>
      <c r="R64" s="305"/>
      <c r="S64" s="305"/>
      <c r="T64" s="305"/>
      <c r="U64" s="316" t="str">
        <f>IF(首頁!K5="幽靈海盜", 20, "")</f>
        <v/>
      </c>
      <c r="V64" s="305"/>
      <c r="W64" s="305"/>
      <c r="X64" s="305"/>
      <c r="Y64" s="305"/>
      <c r="Z64" s="305"/>
      <c r="AA64" s="305"/>
      <c r="AB64" s="305"/>
      <c r="AC64" s="305"/>
      <c r="AD64" s="305"/>
      <c r="AE64" s="305"/>
      <c r="AF64" s="305"/>
      <c r="AG64" s="305"/>
      <c r="AH64" s="305"/>
      <c r="AI64" s="305"/>
      <c r="AJ64" s="305"/>
      <c r="AK64" s="305"/>
      <c r="AL64" s="305"/>
      <c r="AM64" s="305"/>
      <c r="AN64" s="305"/>
      <c r="AO64" s="305"/>
      <c r="AP64" s="305"/>
      <c r="AQ64" s="305"/>
      <c r="AR64" s="305"/>
      <c r="AS64" s="305"/>
      <c r="AT64" s="305"/>
      <c r="AU64" s="305"/>
      <c r="AV64" s="305"/>
      <c r="AW64" s="305"/>
      <c r="AX64" s="321" t="str">
        <f>IF(首頁!G21=TRUE, IF(首頁!M15="", 21*(100+60+IF(首頁!G22=TRUE, 24, 0))%, 21*(100+首頁!M15+IF(首頁!G22=TRUE, 24, 0))%), "")</f>
        <v/>
      </c>
      <c r="AY64" s="321"/>
      <c r="AZ64" s="305"/>
      <c r="BA64" s="305"/>
      <c r="BB64" s="305"/>
      <c r="BC64" s="305"/>
      <c r="BD64" s="305"/>
      <c r="BE64" s="305"/>
      <c r="BF64" s="305"/>
      <c r="BG64" s="305"/>
      <c r="BH64" s="321" t="str">
        <f>IF(首頁!G26=TRUE, 20, "")</f>
        <v/>
      </c>
      <c r="BI64" s="280"/>
      <c r="BJ64" s="280"/>
      <c r="BK64" s="280"/>
      <c r="BL64" s="280"/>
      <c r="BM64" s="280"/>
      <c r="BN64" s="305"/>
      <c r="BO64" s="280" t="s">
        <v>359</v>
      </c>
      <c r="BP64" s="324">
        <f>SUM(C64:INDEX(64:64, COLUMN(BP64)-2))</f>
        <v>0</v>
      </c>
    </row>
    <row r="65" spans="2:68" x14ac:dyDescent="0.25">
      <c r="B65" s="280"/>
      <c r="C65" s="280"/>
      <c r="D65" s="280"/>
      <c r="E65" s="280"/>
      <c r="F65" s="280"/>
      <c r="G65" s="280"/>
      <c r="H65" s="280"/>
      <c r="I65" s="280"/>
      <c r="J65" s="280"/>
      <c r="K65" s="305"/>
      <c r="L65" s="305"/>
      <c r="M65" s="305"/>
      <c r="N65" s="305"/>
      <c r="O65" s="305"/>
      <c r="P65" s="305"/>
      <c r="Q65" s="305"/>
      <c r="R65" s="305"/>
      <c r="S65" s="305"/>
      <c r="T65" s="305"/>
      <c r="U65" s="305"/>
      <c r="V65" s="305"/>
      <c r="W65" s="305"/>
      <c r="X65" s="305"/>
      <c r="Y65" s="305"/>
      <c r="Z65" s="305"/>
      <c r="AA65" s="305"/>
      <c r="AB65" s="305"/>
      <c r="AC65" s="305"/>
      <c r="AD65" s="305"/>
      <c r="AE65" s="305"/>
      <c r="AF65" s="305"/>
      <c r="AG65" s="305"/>
      <c r="AH65" s="305"/>
      <c r="AI65" s="305"/>
      <c r="AJ65" s="305"/>
      <c r="AK65" s="305"/>
      <c r="AL65" s="305"/>
      <c r="AM65" s="305"/>
      <c r="AN65" s="305"/>
      <c r="AO65" s="305"/>
      <c r="AP65" s="305"/>
      <c r="AQ65" s="305"/>
      <c r="AR65" s="305"/>
      <c r="AS65" s="305"/>
      <c r="AT65" s="305"/>
      <c r="AU65" s="305"/>
      <c r="AV65" s="305"/>
      <c r="AW65" s="305"/>
      <c r="AX65" s="305"/>
      <c r="AY65" s="305"/>
      <c r="AZ65" s="305"/>
      <c r="BA65" s="305"/>
      <c r="BB65" s="305"/>
      <c r="BC65" s="305"/>
      <c r="BD65" s="305"/>
      <c r="BE65" s="305"/>
      <c r="BF65" s="305"/>
      <c r="BG65" s="305"/>
      <c r="BH65" s="305"/>
      <c r="BI65" s="305"/>
      <c r="BJ65" s="305"/>
      <c r="BK65" s="305"/>
      <c r="BL65" s="305"/>
      <c r="BM65" s="305"/>
      <c r="BN65" s="305"/>
      <c r="BO65" s="280"/>
      <c r="BP65" s="280"/>
    </row>
    <row r="66" spans="2:68" x14ac:dyDescent="0.25">
      <c r="B66" s="280" t="s">
        <v>49</v>
      </c>
      <c r="C66" s="280"/>
      <c r="D66" s="280"/>
      <c r="E66" s="280"/>
      <c r="F66" s="280"/>
      <c r="G66" s="280"/>
      <c r="H66" s="280"/>
      <c r="I66" s="280"/>
      <c r="J66" s="280"/>
      <c r="K66" s="305"/>
      <c r="L66" s="305"/>
      <c r="M66" s="305"/>
      <c r="N66" s="305"/>
      <c r="O66" s="305"/>
      <c r="P66" s="305"/>
      <c r="Q66" s="305"/>
      <c r="R66" s="305"/>
      <c r="S66" s="305"/>
      <c r="T66" s="305"/>
      <c r="U66" s="305"/>
      <c r="V66" s="305"/>
      <c r="W66" s="305"/>
      <c r="X66" s="305"/>
      <c r="Y66" s="305"/>
      <c r="Z66" s="305"/>
      <c r="AA66" s="305"/>
      <c r="AB66" s="305"/>
      <c r="AC66" s="305"/>
      <c r="AD66" s="305"/>
      <c r="AE66" s="305"/>
      <c r="AF66" s="305"/>
      <c r="AG66" s="305"/>
      <c r="AH66" s="305"/>
      <c r="AI66" s="305"/>
      <c r="AJ66" s="305"/>
      <c r="AK66" s="305"/>
      <c r="AL66" s="305"/>
      <c r="AM66" s="305"/>
      <c r="AN66" s="305"/>
      <c r="AO66" s="305"/>
      <c r="AP66" s="305"/>
      <c r="AQ66" s="305"/>
      <c r="AR66" s="305"/>
      <c r="AS66" s="305"/>
      <c r="AT66" s="305"/>
      <c r="AU66" s="305"/>
      <c r="AV66" s="305"/>
      <c r="AW66" s="305"/>
      <c r="AX66" s="305"/>
      <c r="AY66" s="305"/>
      <c r="AZ66" s="305"/>
      <c r="BA66" s="305"/>
      <c r="BB66" s="305"/>
      <c r="BC66" s="305"/>
      <c r="BD66" s="305"/>
      <c r="BE66" s="305"/>
      <c r="BF66" s="305"/>
      <c r="BG66" s="305"/>
      <c r="BH66" s="305"/>
      <c r="BI66" s="305"/>
      <c r="BJ66" s="305"/>
      <c r="BK66" s="305"/>
      <c r="BL66" s="305"/>
      <c r="BM66" s="305"/>
      <c r="BN66" s="305"/>
      <c r="BO66" s="280" t="s">
        <v>49</v>
      </c>
      <c r="BP66" s="324">
        <f>SUM(C66:INDEX(66:66, COLUMN(BP66)-2))</f>
        <v>0</v>
      </c>
    </row>
    <row r="67" spans="2:68" x14ac:dyDescent="0.25">
      <c r="B67" s="280"/>
      <c r="C67" s="280"/>
      <c r="D67" s="280"/>
      <c r="E67" s="280"/>
      <c r="F67" s="280"/>
      <c r="G67" s="280"/>
      <c r="H67" s="280"/>
      <c r="I67" s="280"/>
      <c r="J67" s="280"/>
      <c r="K67" s="305"/>
      <c r="L67" s="305"/>
      <c r="M67" s="305"/>
      <c r="N67" s="305"/>
      <c r="O67" s="305"/>
      <c r="P67" s="305"/>
      <c r="Q67" s="305"/>
      <c r="R67" s="305"/>
      <c r="S67" s="305"/>
      <c r="T67" s="305"/>
      <c r="U67" s="305"/>
      <c r="V67" s="305"/>
      <c r="W67" s="305"/>
      <c r="X67" s="305"/>
      <c r="Y67" s="305"/>
      <c r="Z67" s="305"/>
      <c r="AA67" s="305"/>
      <c r="AB67" s="305"/>
      <c r="AC67" s="305"/>
      <c r="AD67" s="305"/>
      <c r="AE67" s="305"/>
      <c r="AF67" s="305"/>
      <c r="AG67" s="305"/>
      <c r="AH67" s="305"/>
      <c r="AI67" s="305"/>
      <c r="AJ67" s="305"/>
      <c r="AK67" s="305"/>
      <c r="AL67" s="305"/>
      <c r="AM67" s="305"/>
      <c r="AN67" s="305"/>
      <c r="AO67" s="305"/>
      <c r="AP67" s="305"/>
      <c r="AQ67" s="305"/>
      <c r="AR67" s="305"/>
      <c r="AS67" s="305"/>
      <c r="AT67" s="305"/>
      <c r="AU67" s="305"/>
      <c r="AV67" s="305"/>
      <c r="AW67" s="305"/>
      <c r="AX67" s="305"/>
      <c r="AY67" s="305"/>
      <c r="AZ67" s="305"/>
      <c r="BA67" s="305"/>
      <c r="BB67" s="305"/>
      <c r="BC67" s="305"/>
      <c r="BD67" s="305"/>
      <c r="BE67" s="305"/>
      <c r="BF67" s="305"/>
      <c r="BG67" s="305"/>
      <c r="BH67" s="305"/>
      <c r="BI67" s="305"/>
      <c r="BJ67" s="305"/>
      <c r="BK67" s="305"/>
      <c r="BL67" s="305"/>
      <c r="BM67" s="305"/>
      <c r="BN67" s="305"/>
      <c r="BO67" s="280"/>
      <c r="BP67" s="280"/>
    </row>
    <row r="68" spans="2:68" x14ac:dyDescent="0.25">
      <c r="B68" s="280" t="s">
        <v>401</v>
      </c>
      <c r="C68" s="280"/>
      <c r="D68" s="280"/>
      <c r="E68" s="280"/>
      <c r="F68" s="280"/>
      <c r="G68" s="280"/>
      <c r="H68" s="280"/>
      <c r="I68" s="280"/>
      <c r="J68" s="280"/>
      <c r="K68" s="305"/>
      <c r="L68" s="305"/>
      <c r="M68" s="305"/>
      <c r="N68" s="305"/>
      <c r="O68" s="305"/>
      <c r="P68" s="305"/>
      <c r="Q68" s="305"/>
      <c r="R68" s="305"/>
      <c r="S68" s="305"/>
      <c r="T68" s="305"/>
      <c r="U68" s="328" t="str">
        <f>IF(AND(首頁!G4="水", 首頁!K5="雪怪的暴風雪", 首頁!G11=TRUE), 5, "")</f>
        <v/>
      </c>
      <c r="V68" s="305"/>
      <c r="W68" s="305"/>
      <c r="X68" s="305"/>
      <c r="Y68" s="305"/>
      <c r="Z68" s="305"/>
      <c r="AA68" s="305"/>
      <c r="AB68" s="305"/>
      <c r="AC68" s="305"/>
      <c r="AD68" s="305"/>
      <c r="AE68" s="305"/>
      <c r="AF68" s="305"/>
      <c r="AG68" s="305"/>
      <c r="AH68" s="305"/>
      <c r="AI68" s="305"/>
      <c r="AJ68" s="305"/>
      <c r="AK68" s="305"/>
      <c r="AL68" s="305"/>
      <c r="AM68" s="305"/>
      <c r="AN68" s="305"/>
      <c r="AO68" s="305"/>
      <c r="AP68" s="323">
        <f>IF(AND(首頁!G4= "水", 首頁!D5="新的組合公式"), IF(首頁!D6="", 法寶卡!J43, INDEX(法寶卡!F43:J43, 1, 首頁!D6)), 0) * IF(首頁!D8="", 首頁!D7, 首頁!D8)</f>
        <v>0</v>
      </c>
      <c r="AQ68" s="305"/>
      <c r="AR68" s="305"/>
      <c r="AS68" s="305"/>
      <c r="AT68" s="305"/>
      <c r="AU68" s="305"/>
      <c r="AV68" s="305"/>
      <c r="AW68" s="305"/>
      <c r="AX68" s="305"/>
      <c r="AY68" s="305"/>
      <c r="AZ68" s="321" t="str">
        <f>IF(首頁!G23=TRUE, IF(首頁!M16="", 20*(100+110)%, 20*(100+首頁!M16)%), "")</f>
        <v/>
      </c>
      <c r="BA68" s="305"/>
      <c r="BB68" s="305"/>
      <c r="BC68" s="305"/>
      <c r="BD68" s="305"/>
      <c r="BE68" s="305"/>
      <c r="BF68" s="305"/>
      <c r="BG68" s="351" t="str">
        <f>IF(首頁!G36=TRUE, 9, "")</f>
        <v/>
      </c>
      <c r="BH68" s="305"/>
      <c r="BI68" s="326" t="str">
        <f>IF(AND(首頁!G25=TRUE, 首頁!Q17="火"),
   IF(AND(首頁!O17&lt;&gt;"", 首頁!M17&lt;&gt;""),
      首頁!O17 * (100 + 首頁!M17) / 100,
      IF(AND(首頁!O17="", 首頁!M17=""),
         10 * (100 + 50) / 100,
         (IF(首頁!O17="", 10, 首頁!O17) * (100 + IF(首頁!M17="", 50, 首頁!M17)) / 100)
      )
   ),
   ""
)</f>
        <v/>
      </c>
      <c r="BJ68" s="305"/>
      <c r="BK68" s="305"/>
      <c r="BL68" s="305"/>
      <c r="BM68" s="305"/>
      <c r="BN68" s="305"/>
      <c r="BO68" s="280" t="s">
        <v>401</v>
      </c>
      <c r="BP68" s="324">
        <f>SUM(C68:INDEX(68:68, COLUMN(BP68)-2))</f>
        <v>0</v>
      </c>
    </row>
    <row r="69" spans="2:68" x14ac:dyDescent="0.25">
      <c r="B69" s="280" t="s">
        <v>400</v>
      </c>
      <c r="C69" s="280"/>
      <c r="D69" s="280"/>
      <c r="E69" s="280"/>
      <c r="F69" s="280"/>
      <c r="G69" s="280"/>
      <c r="H69" s="280"/>
      <c r="I69" s="280"/>
      <c r="J69" s="280"/>
      <c r="K69" s="305"/>
      <c r="L69" s="305"/>
      <c r="M69" s="305"/>
      <c r="N69" s="305"/>
      <c r="O69" s="305"/>
      <c r="P69" s="305"/>
      <c r="Q69" s="305"/>
      <c r="R69" s="305"/>
      <c r="S69" s="305"/>
      <c r="T69" s="305"/>
      <c r="U69" s="328" t="str">
        <f>IF(AND(首頁!G4="火", 首頁!K5="雪怪的暴風雪", 首頁!G11=TRUE), 5, "")</f>
        <v/>
      </c>
      <c r="V69" s="305"/>
      <c r="W69" s="305"/>
      <c r="X69" s="305"/>
      <c r="Y69" s="305"/>
      <c r="Z69" s="305"/>
      <c r="AA69" s="305"/>
      <c r="AB69" s="305"/>
      <c r="AC69" s="305"/>
      <c r="AD69" s="305"/>
      <c r="AE69" s="305"/>
      <c r="AF69" s="305"/>
      <c r="AG69" s="305"/>
      <c r="AH69" s="305"/>
      <c r="AI69" s="305"/>
      <c r="AJ69" s="305"/>
      <c r="AK69" s="305"/>
      <c r="AL69" s="305"/>
      <c r="AM69" s="305"/>
      <c r="AN69" s="305"/>
      <c r="AO69" s="305"/>
      <c r="AP69" s="323">
        <f>IF(AND(首頁!G4= "火", 首頁!D5="新的組合公式"), IF(首頁!D6="", 法寶卡!J43, INDEX(法寶卡!F43:J43, 1, 首頁!D6)), 0) * IF(首頁!D8="", 首頁!D7, 首頁!D8)</f>
        <v>0</v>
      </c>
      <c r="AQ69" s="305"/>
      <c r="AR69" s="305"/>
      <c r="AS69" s="305"/>
      <c r="AT69" s="305"/>
      <c r="AU69" s="305"/>
      <c r="AV69" s="305"/>
      <c r="AW69" s="305"/>
      <c r="AX69" s="305"/>
      <c r="AY69" s="305"/>
      <c r="AZ69" s="321" t="str">
        <f>IF(首頁!G23=TRUE, IF(首頁!M16="", 20*(100+110)%, 20*(100+首頁!M16)%), "")</f>
        <v/>
      </c>
      <c r="BA69" s="305"/>
      <c r="BB69" s="305"/>
      <c r="BC69" s="305"/>
      <c r="BD69" s="305"/>
      <c r="BE69" s="305"/>
      <c r="BF69" s="305"/>
      <c r="BG69" s="351" t="str">
        <f>IF(首頁!G36=TRUE, 9, "")</f>
        <v/>
      </c>
      <c r="BH69" s="305"/>
      <c r="BI69" s="326" t="str">
        <f>IF(AND(首頁!G25=TRUE, 首頁!Q17="水"),
   IF(AND(首頁!O17&lt;&gt;"", 首頁!M17&lt;&gt;""),
      首頁!O17 * (100 + 首頁!M17) / 100,
      IF(AND(首頁!O17="", 首頁!M17=""),
         10 * (100 + 50) / 100,
         (IF(首頁!O17="", 10, 首頁!O17) * (100 + IF(首頁!M17="", 50, 首頁!M17)) / 100)
      )
   ),
   ""
)</f>
        <v/>
      </c>
      <c r="BJ69" s="305"/>
      <c r="BK69" s="305"/>
      <c r="BL69" s="305"/>
      <c r="BM69" s="305"/>
      <c r="BN69" s="305"/>
      <c r="BO69" s="280" t="s">
        <v>400</v>
      </c>
      <c r="BP69" s="324">
        <f>SUM(C69:INDEX(69:69, COLUMN(BP69)-2))</f>
        <v>0</v>
      </c>
    </row>
    <row r="70" spans="2:68" x14ac:dyDescent="0.25">
      <c r="B70" s="280" t="s">
        <v>402</v>
      </c>
      <c r="C70" s="280"/>
      <c r="D70" s="280"/>
      <c r="E70" s="280"/>
      <c r="F70" s="280"/>
      <c r="G70" s="280"/>
      <c r="H70" s="280"/>
      <c r="I70" s="280"/>
      <c r="J70" s="280"/>
      <c r="K70" s="305"/>
      <c r="L70" s="305"/>
      <c r="M70" s="305"/>
      <c r="N70" s="305"/>
      <c r="O70" s="305"/>
      <c r="P70" s="305"/>
      <c r="Q70" s="305"/>
      <c r="R70" s="305"/>
      <c r="S70" s="305"/>
      <c r="T70" s="305"/>
      <c r="U70" s="328" t="str">
        <f>IF(AND(首頁!G4="風", 首頁!K5="雪怪的暴風雪", 首頁!G11=TRUE), 5, "")</f>
        <v/>
      </c>
      <c r="V70" s="305"/>
      <c r="W70" s="305"/>
      <c r="X70" s="305"/>
      <c r="Y70" s="305"/>
      <c r="Z70" s="305"/>
      <c r="AA70" s="305"/>
      <c r="AB70" s="305"/>
      <c r="AC70" s="305"/>
      <c r="AD70" s="305"/>
      <c r="AE70" s="305"/>
      <c r="AF70" s="305"/>
      <c r="AG70" s="305"/>
      <c r="AH70" s="305"/>
      <c r="AI70" s="305"/>
      <c r="AJ70" s="305"/>
      <c r="AK70" s="305"/>
      <c r="AL70" s="305"/>
      <c r="AM70" s="305"/>
      <c r="AN70" s="305"/>
      <c r="AO70" s="305"/>
      <c r="AP70" s="323">
        <f>IF(AND(首頁!G4= "風", 首頁!D5="新的組合公式"), IF(首頁!D6="", 法寶卡!J43, INDEX(法寶卡!F43:J43, 1, 首頁!D6)), 0) * IF(首頁!D8="", 首頁!D7, 首頁!D8)</f>
        <v>0</v>
      </c>
      <c r="AQ70" s="305"/>
      <c r="AR70" s="305"/>
      <c r="AS70" s="305"/>
      <c r="AT70" s="305"/>
      <c r="AU70" s="305"/>
      <c r="AV70" s="305"/>
      <c r="AW70" s="305"/>
      <c r="AX70" s="305"/>
      <c r="AY70" s="305"/>
      <c r="AZ70" s="321" t="str">
        <f>IF(首頁!G23=TRUE, IF(首頁!M16="", 20*(100+110)%, 20*(100+首頁!M16)%), "")</f>
        <v/>
      </c>
      <c r="BA70" s="305"/>
      <c r="BB70" s="305"/>
      <c r="BC70" s="305"/>
      <c r="BD70" s="305"/>
      <c r="BE70" s="305"/>
      <c r="BF70" s="305"/>
      <c r="BG70" s="351" t="str">
        <f>IF(首頁!G36=TRUE, 9, "")</f>
        <v/>
      </c>
      <c r="BH70" s="305"/>
      <c r="BI70" s="326" t="str">
        <f>IF(AND(首頁!G25=TRUE, 首頁!Q17="風"),
   IF(AND(首頁!O17&lt;&gt;"", 首頁!M17&lt;&gt;""),
      首頁!O17 * (100 + 首頁!M17) / 100,
      IF(AND(首頁!O17="", 首頁!M17=""),
         10 * (100 + 50) / 100,
         (IF(首頁!O17="", 10, 首頁!O17) * (100 + IF(首頁!M17="", 50, 首頁!M17)) / 100)
      )
   ),
   ""
)</f>
        <v/>
      </c>
      <c r="BJ70" s="305"/>
      <c r="BK70" s="305"/>
      <c r="BL70" s="305"/>
      <c r="BM70" s="305"/>
      <c r="BN70" s="305"/>
      <c r="BO70" s="280" t="s">
        <v>402</v>
      </c>
      <c r="BP70" s="324">
        <f>SUM(C70:INDEX(70:70, COLUMN(BP70)-2))</f>
        <v>0</v>
      </c>
    </row>
    <row r="71" spans="2:68" x14ac:dyDescent="0.25">
      <c r="B71" s="280" t="s">
        <v>403</v>
      </c>
      <c r="C71" s="280"/>
      <c r="D71" s="280"/>
      <c r="E71" s="280"/>
      <c r="F71" s="280"/>
      <c r="G71" s="280"/>
      <c r="H71" s="280"/>
      <c r="I71" s="280"/>
      <c r="J71" s="280"/>
      <c r="K71" s="305"/>
      <c r="L71" s="305"/>
      <c r="M71" s="305"/>
      <c r="N71" s="305"/>
      <c r="O71" s="305"/>
      <c r="P71" s="305"/>
      <c r="Q71" s="305"/>
      <c r="R71" s="305"/>
      <c r="S71" s="305"/>
      <c r="T71" s="305"/>
      <c r="U71" s="328" t="str">
        <f>IF(AND(首頁!G4="土", 首頁!K5="雪怪的暴風雪", 首頁!G11=TRUE), 5, "")</f>
        <v/>
      </c>
      <c r="V71" s="305"/>
      <c r="W71" s="305"/>
      <c r="X71" s="305"/>
      <c r="Y71" s="305"/>
      <c r="Z71" s="305"/>
      <c r="AA71" s="305"/>
      <c r="AB71" s="305"/>
      <c r="AC71" s="305"/>
      <c r="AD71" s="305"/>
      <c r="AE71" s="305"/>
      <c r="AF71" s="305"/>
      <c r="AG71" s="305"/>
      <c r="AH71" s="305"/>
      <c r="AI71" s="305"/>
      <c r="AJ71" s="305"/>
      <c r="AK71" s="305"/>
      <c r="AL71" s="305"/>
      <c r="AM71" s="305"/>
      <c r="AN71" s="305"/>
      <c r="AO71" s="305"/>
      <c r="AP71" s="323">
        <f>IF(AND(首頁!G4= "土", 首頁!D5="新的組合公式"), IF(首頁!D6="", 法寶卡!J43, INDEX(法寶卡!F43:J43, 1, 首頁!D6)), 0) * IF(首頁!D8="", 首頁!D7, 首頁!D8)</f>
        <v>0</v>
      </c>
      <c r="AQ71" s="305"/>
      <c r="AR71" s="305"/>
      <c r="AS71" s="305"/>
      <c r="AT71" s="305"/>
      <c r="AU71" s="305"/>
      <c r="AV71" s="305"/>
      <c r="AW71" s="305"/>
      <c r="AX71" s="305"/>
      <c r="AY71" s="305"/>
      <c r="AZ71" s="321" t="str">
        <f>IF(首頁!G23=TRUE, IF(首頁!M16="", 20*(100+110)%, 20*(100+首頁!M16)%), "")</f>
        <v/>
      </c>
      <c r="BA71" s="305"/>
      <c r="BB71" s="305"/>
      <c r="BC71" s="305"/>
      <c r="BD71" s="305"/>
      <c r="BE71" s="305"/>
      <c r="BF71" s="305"/>
      <c r="BG71" s="351" t="str">
        <f>IF(首頁!G36=TRUE, 9, "")</f>
        <v/>
      </c>
      <c r="BH71" s="305"/>
      <c r="BI71" s="326" t="str">
        <f>IF(AND(首頁!G25=TRUE, 首頁!Q17="土"),
   IF(AND(首頁!O17&lt;&gt;"", 首頁!M17&lt;&gt;""),
      首頁!O17 * (100 + 首頁!M17) / 100,
      IF(AND(首頁!O17="", 首頁!M17=""),
         10 * (100 + 50) / 100,
         (IF(首頁!O17="", 10, 首頁!O17) * (100 + IF(首頁!M17="", 50, 首頁!M17)) / 100)
      )
   ),
   ""
)</f>
        <v/>
      </c>
      <c r="BJ71" s="305"/>
      <c r="BK71" s="305"/>
      <c r="BL71" s="305"/>
      <c r="BM71" s="305"/>
      <c r="BN71" s="305"/>
      <c r="BO71" s="280" t="s">
        <v>403</v>
      </c>
      <c r="BP71" s="324">
        <f>SUM(C71:INDEX(71:71, COLUMN(BP71)-2))</f>
        <v>0</v>
      </c>
    </row>
    <row r="72" spans="2:68" x14ac:dyDescent="0.25">
      <c r="B72" s="280" t="s">
        <v>404</v>
      </c>
      <c r="C72" s="280"/>
      <c r="D72" s="280"/>
      <c r="E72" s="280"/>
      <c r="F72" s="280"/>
      <c r="G72" s="280"/>
      <c r="H72" s="280"/>
      <c r="I72" s="280"/>
      <c r="J72" s="280"/>
      <c r="K72" s="305"/>
      <c r="L72" s="305"/>
      <c r="M72" s="305"/>
      <c r="N72" s="305"/>
      <c r="O72" s="305"/>
      <c r="P72" s="305"/>
      <c r="Q72" s="305"/>
      <c r="R72" s="305"/>
      <c r="S72" s="305"/>
      <c r="T72" s="305"/>
      <c r="U72" s="328" t="str">
        <f>IF(AND(首頁!G4="光", 首頁!K5="雪怪的暴風雪", 首頁!G11=TRUE), 5, "")</f>
        <v/>
      </c>
      <c r="V72" s="305"/>
      <c r="W72" s="305"/>
      <c r="X72" s="305"/>
      <c r="Y72" s="305"/>
      <c r="Z72" s="305"/>
      <c r="AA72" s="305"/>
      <c r="AB72" s="305"/>
      <c r="AC72" s="305"/>
      <c r="AD72" s="305"/>
      <c r="AE72" s="305"/>
      <c r="AF72" s="305"/>
      <c r="AG72" s="305"/>
      <c r="AH72" s="305"/>
      <c r="AI72" s="305"/>
      <c r="AJ72" s="305"/>
      <c r="AK72" s="305"/>
      <c r="AL72" s="305"/>
      <c r="AM72" s="305"/>
      <c r="AN72" s="305"/>
      <c r="AO72" s="305"/>
      <c r="AP72" s="323">
        <f>IF(AND(首頁!G4= "光", 首頁!D5="新的組合公式"), IF(首頁!D6="", 法寶卡!J43, INDEX(法寶卡!F43:J43, 1, 首頁!D6)), 0) * IF(首頁!D8="", 首頁!D7, 首頁!D8)</f>
        <v>0</v>
      </c>
      <c r="AQ72" s="305"/>
      <c r="AR72" s="305"/>
      <c r="AS72" s="305"/>
      <c r="AT72" s="305"/>
      <c r="AU72" s="305"/>
      <c r="AV72" s="305"/>
      <c r="AW72" s="305"/>
      <c r="AX72" s="305"/>
      <c r="AY72" s="305"/>
      <c r="AZ72" s="321" t="str">
        <f>IF(首頁!G23=TRUE, IF(首頁!M16="", 20*(100+110)%, 20*(100+首頁!M16)%), "")</f>
        <v/>
      </c>
      <c r="BA72" s="305"/>
      <c r="BB72" s="305"/>
      <c r="BC72" s="305"/>
      <c r="BD72" s="305"/>
      <c r="BE72" s="305"/>
      <c r="BF72" s="305"/>
      <c r="BG72" s="351" t="str">
        <f>IF(首頁!G36=TRUE, 9, "")</f>
        <v/>
      </c>
      <c r="BH72" s="305"/>
      <c r="BI72" s="326" t="str">
        <f>IF(AND(首頁!G25=TRUE, 首頁!Q17="光"),
   IF(AND(首頁!O17&lt;&gt;"", 首頁!M17&lt;&gt;""),
      首頁!O17 * (100 + 首頁!M17) / 100,
      IF(AND(首頁!O17="", 首頁!M17=""),
         10 * (100 + 50) / 100,
         (IF(首頁!O17="", 10, 首頁!O17) * (100 + IF(首頁!M17="", 50, 首頁!M17)) / 100)
      )
   ),
   ""
)</f>
        <v/>
      </c>
      <c r="BJ72" s="305"/>
      <c r="BK72" s="305"/>
      <c r="BL72" s="305"/>
      <c r="BM72" s="305"/>
      <c r="BN72" s="305"/>
      <c r="BO72" s="280" t="s">
        <v>404</v>
      </c>
      <c r="BP72" s="324">
        <f>SUM(C72:INDEX(72:72, COLUMN(BP72)-2))</f>
        <v>0</v>
      </c>
    </row>
    <row r="73" spans="2:68" x14ac:dyDescent="0.25">
      <c r="B73" s="280" t="s">
        <v>399</v>
      </c>
      <c r="C73" s="280"/>
      <c r="D73" s="280"/>
      <c r="E73" s="280"/>
      <c r="F73" s="280"/>
      <c r="G73" s="280"/>
      <c r="H73" s="280"/>
      <c r="I73" s="280"/>
      <c r="J73" s="280"/>
      <c r="K73" s="305"/>
      <c r="L73" s="305"/>
      <c r="M73" s="305"/>
      <c r="N73" s="305"/>
      <c r="O73" s="305"/>
      <c r="P73" s="305"/>
      <c r="Q73" s="305"/>
      <c r="R73" s="305"/>
      <c r="S73" s="305"/>
      <c r="T73" s="305"/>
      <c r="U73" s="316" t="str">
        <f>IF(AND(首頁!G4="暗", 首頁!K5="雪怪的暴風雪", 首頁!G11=TRUE), 5, "")</f>
        <v/>
      </c>
      <c r="V73" s="305"/>
      <c r="W73" s="305"/>
      <c r="X73" s="305"/>
      <c r="Y73" s="305"/>
      <c r="Z73" s="305"/>
      <c r="AA73" s="305"/>
      <c r="AB73" s="305"/>
      <c r="AC73" s="305"/>
      <c r="AD73" s="305"/>
      <c r="AE73" s="305"/>
      <c r="AF73" s="305"/>
      <c r="AG73" s="305"/>
      <c r="AH73" s="305"/>
      <c r="AI73" s="305"/>
      <c r="AJ73" s="305"/>
      <c r="AK73" s="305"/>
      <c r="AL73" s="305"/>
      <c r="AM73" s="305"/>
      <c r="AN73" s="305"/>
      <c r="AO73" s="305"/>
      <c r="AP73" s="323">
        <f>IF(AND(首頁!G4= "暗", 首頁!D5="新的組合公式"), IF(首頁!D6="", 法寶卡!J43, INDEX(法寶卡!F43:J43, 1, 首頁!D6)), 0) * IF(首頁!D8="", 首頁!D7, 首頁!D8)</f>
        <v>0</v>
      </c>
      <c r="AQ73" s="305"/>
      <c r="AR73" s="305"/>
      <c r="AS73" s="305"/>
      <c r="AT73" s="305"/>
      <c r="AU73" s="305"/>
      <c r="AV73" s="305"/>
      <c r="AW73" s="305"/>
      <c r="AX73" s="305"/>
      <c r="AY73" s="305"/>
      <c r="AZ73" s="321" t="str">
        <f>IF(首頁!G23=TRUE, IF(首頁!M16="", 20*(100+110)%, 20*(100+首頁!M16)%), "")</f>
        <v/>
      </c>
      <c r="BA73" s="305"/>
      <c r="BB73" s="305"/>
      <c r="BC73" s="305"/>
      <c r="BD73" s="305"/>
      <c r="BE73" s="305"/>
      <c r="BF73" s="305"/>
      <c r="BG73" s="351" t="str">
        <f>IF(首頁!G36=TRUE, 9, "")</f>
        <v/>
      </c>
      <c r="BH73" s="305"/>
      <c r="BI73" s="326" t="str">
        <f>IF(AND(首頁!G25=TRUE, 首頁!Q17="暗"),
   IF(AND(首頁!O17&lt;&gt;"", 首頁!M17&lt;&gt;""),
      首頁!O17 * (100 + 首頁!M17) / 100,
      IF(AND(首頁!O17="", 首頁!M17=""),
         10 * (100 + 50) / 100,
         (IF(首頁!O17="", 10, 首頁!O17) * (100 + IF(首頁!M17="", 50, 首頁!M17)) / 100)
      )
   ),
   ""
)</f>
        <v/>
      </c>
      <c r="BJ73" s="305"/>
      <c r="BK73" s="305"/>
      <c r="BL73" s="305"/>
      <c r="BM73" s="305"/>
      <c r="BN73" s="305"/>
      <c r="BO73" s="280" t="s">
        <v>399</v>
      </c>
      <c r="BP73" s="324">
        <f>SUM(C73:INDEX(73:73, COLUMN(BP73)-2))</f>
        <v>0</v>
      </c>
    </row>
    <row r="74" spans="2:68" x14ac:dyDescent="0.25">
      <c r="B74" s="280" t="s">
        <v>519</v>
      </c>
      <c r="C74" s="280"/>
      <c r="D74" s="280"/>
      <c r="E74" s="280"/>
      <c r="F74" s="280"/>
      <c r="G74" s="280"/>
      <c r="H74" s="280"/>
      <c r="I74" s="280"/>
      <c r="J74" s="280"/>
      <c r="K74" s="305"/>
      <c r="L74" s="305"/>
      <c r="M74" s="305"/>
      <c r="N74" s="305"/>
      <c r="O74" s="305"/>
      <c r="P74" s="305"/>
      <c r="Q74" s="305"/>
      <c r="R74" s="305"/>
      <c r="S74" s="305"/>
      <c r="T74" s="305"/>
      <c r="U74" s="280"/>
      <c r="V74" s="305"/>
      <c r="W74" s="305"/>
      <c r="X74" s="305"/>
      <c r="Y74" s="305"/>
      <c r="Z74" s="305"/>
      <c r="AA74" s="305"/>
      <c r="AB74" s="305"/>
      <c r="AC74" s="305"/>
      <c r="AD74" s="305"/>
      <c r="AE74" s="305"/>
      <c r="AF74" s="305"/>
      <c r="AG74" s="305"/>
      <c r="AH74" s="305"/>
      <c r="AI74" s="305"/>
      <c r="AJ74" s="305"/>
      <c r="AK74" s="305"/>
      <c r="AL74" s="305"/>
      <c r="AM74" s="305"/>
      <c r="AN74" s="305"/>
      <c r="AO74" s="305"/>
      <c r="AP74" s="280"/>
      <c r="AQ74" s="305"/>
      <c r="AR74" s="305"/>
      <c r="AS74" s="305"/>
      <c r="AT74" s="305"/>
      <c r="AU74" s="305"/>
      <c r="AV74" s="305"/>
      <c r="AW74" s="305"/>
      <c r="AX74" s="305"/>
      <c r="AY74" s="305"/>
      <c r="AZ74" s="280"/>
      <c r="BA74" s="305"/>
      <c r="BB74" s="305"/>
      <c r="BC74" s="305"/>
      <c r="BD74" s="305"/>
      <c r="BE74" s="305"/>
      <c r="BF74" s="305"/>
      <c r="BG74" s="305"/>
      <c r="BH74" s="305"/>
      <c r="BI74" s="305"/>
      <c r="BJ74" s="305"/>
      <c r="BK74" s="305"/>
      <c r="BL74" s="305"/>
      <c r="BM74" s="305"/>
      <c r="BN74" s="305"/>
      <c r="BO74" s="280" t="s">
        <v>519</v>
      </c>
      <c r="BP74" s="324">
        <f>IF(首頁!G4="火", 計算過程!BP68,
IF(首頁!G4="水", 計算過程!BP69,
IF(首頁!G4="風", 計算過程!BP70,
IF(首頁!G4="土", 計算過程!BP71,
IF(首頁!G4="光", 計算過程!BP72,
IF(首頁!G4="暗", 計算過程!BP73, ""))))))</f>
        <v>0</v>
      </c>
    </row>
    <row r="75" spans="2:68" x14ac:dyDescent="0.25">
      <c r="B75" s="280"/>
      <c r="C75" s="280"/>
      <c r="D75" s="280"/>
      <c r="E75" s="280"/>
      <c r="F75" s="280"/>
      <c r="G75" s="280"/>
      <c r="H75" s="280"/>
      <c r="I75" s="280"/>
      <c r="J75" s="280"/>
      <c r="K75" s="305"/>
      <c r="L75" s="305"/>
      <c r="M75" s="305"/>
      <c r="N75" s="305"/>
      <c r="O75" s="305"/>
      <c r="P75" s="305"/>
      <c r="Q75" s="305"/>
      <c r="R75" s="305"/>
      <c r="S75" s="305"/>
      <c r="T75" s="305"/>
      <c r="U75" s="305"/>
      <c r="V75" s="305"/>
      <c r="W75" s="305"/>
      <c r="X75" s="305"/>
      <c r="Y75" s="305"/>
      <c r="Z75" s="305"/>
      <c r="AA75" s="305"/>
      <c r="AB75" s="305"/>
      <c r="AC75" s="305"/>
      <c r="AD75" s="305"/>
      <c r="AE75" s="305"/>
      <c r="AF75" s="305"/>
      <c r="AG75" s="305"/>
      <c r="AH75" s="305"/>
      <c r="AI75" s="305"/>
      <c r="AJ75" s="305"/>
      <c r="AK75" s="305"/>
      <c r="AL75" s="305"/>
      <c r="AM75" s="305"/>
      <c r="AN75" s="305"/>
      <c r="AO75" s="305"/>
      <c r="AP75" s="305"/>
      <c r="AQ75" s="305"/>
      <c r="AR75" s="305"/>
      <c r="AS75" s="305"/>
      <c r="AT75" s="305"/>
      <c r="AU75" s="305"/>
      <c r="AV75" s="305"/>
      <c r="AW75" s="305"/>
      <c r="AX75" s="305"/>
      <c r="AY75" s="305"/>
      <c r="AZ75" s="305"/>
      <c r="BA75" s="305"/>
      <c r="BB75" s="305"/>
      <c r="BC75" s="305"/>
      <c r="BD75" s="305"/>
      <c r="BE75" s="305"/>
      <c r="BF75" s="305"/>
      <c r="BG75" s="305"/>
      <c r="BH75" s="305"/>
      <c r="BI75" s="305"/>
      <c r="BJ75" s="305"/>
      <c r="BK75" s="305"/>
      <c r="BL75" s="305"/>
      <c r="BM75" s="305"/>
      <c r="BN75" s="305"/>
      <c r="BO75" s="280"/>
      <c r="BP75" s="280"/>
    </row>
    <row r="76" spans="2:68" x14ac:dyDescent="0.25">
      <c r="B76" s="280" t="s">
        <v>105</v>
      </c>
      <c r="C76" s="280"/>
      <c r="D76" s="280"/>
      <c r="E76" s="280"/>
      <c r="F76" s="280"/>
      <c r="G76" s="280"/>
      <c r="H76" s="280"/>
      <c r="I76" s="280"/>
      <c r="J76" s="280"/>
      <c r="K76" s="305"/>
      <c r="L76" s="305"/>
      <c r="M76" s="305"/>
      <c r="N76" s="305"/>
      <c r="O76" s="305"/>
      <c r="P76" s="305"/>
      <c r="Q76" s="305"/>
      <c r="R76" s="305"/>
      <c r="S76" s="305"/>
      <c r="T76" s="305"/>
      <c r="U76" s="305"/>
      <c r="V76" s="305"/>
      <c r="W76" s="305"/>
      <c r="X76" s="305"/>
      <c r="Y76" s="305"/>
      <c r="Z76" s="305"/>
      <c r="AA76" s="305"/>
      <c r="AB76" s="305"/>
      <c r="AC76" s="305"/>
      <c r="AD76" s="305"/>
      <c r="AE76" s="305"/>
      <c r="AF76" s="305"/>
      <c r="AG76" s="305"/>
      <c r="AH76" s="305"/>
      <c r="AI76" s="305"/>
      <c r="AJ76" s="305"/>
      <c r="AK76" s="305"/>
      <c r="AL76" s="305"/>
      <c r="AM76" s="305"/>
      <c r="AN76" s="305"/>
      <c r="AO76" s="305"/>
      <c r="AP76" s="305"/>
      <c r="AQ76" s="305"/>
      <c r="AR76" s="305"/>
      <c r="AS76" s="305"/>
      <c r="AT76" s="305"/>
      <c r="AU76" s="305"/>
      <c r="AV76" s="305"/>
      <c r="AW76" s="305"/>
      <c r="AX76" s="305"/>
      <c r="AY76" s="305"/>
      <c r="AZ76" s="305"/>
      <c r="BA76" s="305"/>
      <c r="BB76" s="305"/>
      <c r="BC76" s="305"/>
      <c r="BD76" s="305"/>
      <c r="BE76" s="305"/>
      <c r="BF76" s="305"/>
      <c r="BG76" s="305"/>
      <c r="BH76" s="305"/>
      <c r="BI76" s="305"/>
      <c r="BJ76" s="305"/>
      <c r="BK76" s="305"/>
      <c r="BL76" s="305"/>
      <c r="BM76" s="305"/>
      <c r="BN76" s="305"/>
      <c r="BO76" s="280" t="s">
        <v>105</v>
      </c>
      <c r="BP76" s="324">
        <f>VLOOKUP(首頁!D14, 敵人防禦及狀態!B3:D344, 3, FALSE)</f>
        <v>1</v>
      </c>
    </row>
    <row r="77" spans="2:68" x14ac:dyDescent="0.25">
      <c r="B77" s="280"/>
      <c r="C77" s="280"/>
      <c r="D77" s="280"/>
      <c r="E77" s="280"/>
      <c r="F77" s="280"/>
      <c r="G77" s="280"/>
      <c r="H77" s="280"/>
      <c r="I77" s="280"/>
      <c r="J77" s="280"/>
      <c r="K77" s="305"/>
      <c r="L77" s="305"/>
      <c r="M77" s="305"/>
      <c r="N77" s="305"/>
      <c r="O77" s="305"/>
      <c r="P77" s="305"/>
      <c r="Q77" s="305"/>
      <c r="R77" s="305"/>
      <c r="S77" s="305"/>
      <c r="T77" s="305"/>
      <c r="U77" s="305"/>
      <c r="V77" s="305"/>
      <c r="W77" s="305"/>
      <c r="X77" s="305"/>
      <c r="Y77" s="305"/>
      <c r="Z77" s="305"/>
      <c r="AA77" s="305"/>
      <c r="AB77" s="305"/>
      <c r="AC77" s="305"/>
      <c r="AD77" s="305"/>
      <c r="AE77" s="305"/>
      <c r="AF77" s="305"/>
      <c r="AG77" s="305"/>
      <c r="AH77" s="305"/>
      <c r="AI77" s="305"/>
      <c r="AJ77" s="305"/>
      <c r="AK77" s="305"/>
      <c r="AL77" s="305"/>
      <c r="AM77" s="305"/>
      <c r="AN77" s="305"/>
      <c r="AO77" s="305"/>
      <c r="AP77" s="305"/>
      <c r="AQ77" s="305"/>
      <c r="AR77" s="305"/>
      <c r="AS77" s="305"/>
      <c r="AT77" s="305"/>
      <c r="AU77" s="305"/>
      <c r="AV77" s="305"/>
      <c r="AW77" s="305"/>
      <c r="AX77" s="305"/>
      <c r="AY77" s="305"/>
      <c r="AZ77" s="305"/>
      <c r="BA77" s="305"/>
      <c r="BB77" s="305"/>
      <c r="BC77" s="305"/>
      <c r="BD77" s="305"/>
      <c r="BE77" s="305"/>
      <c r="BF77" s="305"/>
      <c r="BG77" s="305"/>
      <c r="BH77" s="305"/>
      <c r="BI77" s="305"/>
      <c r="BJ77" s="305"/>
      <c r="BK77" s="305"/>
      <c r="BL77" s="305"/>
      <c r="BM77" s="305"/>
      <c r="BN77" s="305"/>
      <c r="BO77" s="280"/>
      <c r="BP77" s="280"/>
    </row>
    <row r="78" spans="2:68" x14ac:dyDescent="0.25">
      <c r="B78" s="280" t="s">
        <v>106</v>
      </c>
      <c r="C78" s="280"/>
      <c r="D78" s="280"/>
      <c r="E78" s="280"/>
      <c r="F78" s="280"/>
      <c r="G78" s="280"/>
      <c r="H78" s="280"/>
      <c r="I78" s="280"/>
      <c r="J78" s="280"/>
      <c r="K78" s="305"/>
      <c r="L78" s="305"/>
      <c r="M78" s="305"/>
      <c r="N78" s="305"/>
      <c r="O78" s="305"/>
      <c r="P78" s="305"/>
      <c r="Q78" s="305"/>
      <c r="R78" s="305"/>
      <c r="S78" s="305"/>
      <c r="T78" s="305"/>
      <c r="U78" s="305"/>
      <c r="V78" s="305"/>
      <c r="W78" s="305"/>
      <c r="X78" s="305"/>
      <c r="Y78" s="305"/>
      <c r="Z78" s="305"/>
      <c r="AA78" s="305"/>
      <c r="AB78" s="305"/>
      <c r="AC78" s="305"/>
      <c r="AD78" s="305"/>
      <c r="AE78" s="305"/>
      <c r="AF78" s="305"/>
      <c r="AG78" s="305"/>
      <c r="AH78" s="305"/>
      <c r="AI78" s="305"/>
      <c r="AJ78" s="305"/>
      <c r="AK78" s="305"/>
      <c r="AL78" s="305"/>
      <c r="AM78" s="305"/>
      <c r="AN78" s="305"/>
      <c r="AO78" s="305"/>
      <c r="AP78" s="305"/>
      <c r="AQ78" s="305"/>
      <c r="AR78" s="305"/>
      <c r="AS78" s="305"/>
      <c r="AT78" s="305"/>
      <c r="AU78" s="305"/>
      <c r="AV78" s="305"/>
      <c r="AW78" s="305"/>
      <c r="AX78" s="305"/>
      <c r="AY78" s="305"/>
      <c r="AZ78" s="305"/>
      <c r="BA78" s="305"/>
      <c r="BB78" s="305"/>
      <c r="BC78" s="305"/>
      <c r="BD78" s="305"/>
      <c r="BE78" s="305"/>
      <c r="BF78" s="305"/>
      <c r="BG78" s="305"/>
      <c r="BH78" s="305"/>
      <c r="BI78" s="305"/>
      <c r="BJ78" s="305"/>
      <c r="BK78" s="305"/>
      <c r="BL78" s="305"/>
      <c r="BM78" s="305"/>
      <c r="BN78" s="305"/>
      <c r="BO78" s="280" t="s">
        <v>106</v>
      </c>
      <c r="BP78" s="324">
        <f>IF(首頁!G28=TRUE, 1.3, 1)</f>
        <v>1</v>
      </c>
    </row>
    <row r="79" spans="2:68" x14ac:dyDescent="0.25">
      <c r="B79" s="280"/>
      <c r="C79" s="280"/>
      <c r="D79" s="280"/>
      <c r="E79" s="280"/>
      <c r="F79" s="280"/>
      <c r="G79" s="280"/>
      <c r="H79" s="280"/>
      <c r="I79" s="280"/>
      <c r="J79" s="280"/>
      <c r="K79" s="305"/>
      <c r="L79" s="305"/>
      <c r="M79" s="305"/>
      <c r="N79" s="305"/>
      <c r="O79" s="305"/>
      <c r="P79" s="305"/>
      <c r="Q79" s="305"/>
      <c r="R79" s="305"/>
      <c r="S79" s="305"/>
      <c r="T79" s="305"/>
      <c r="U79" s="305"/>
      <c r="V79" s="305"/>
      <c r="W79" s="305"/>
      <c r="X79" s="305"/>
      <c r="Y79" s="305"/>
      <c r="Z79" s="305"/>
      <c r="AA79" s="305"/>
      <c r="AB79" s="305"/>
      <c r="AC79" s="305"/>
      <c r="AD79" s="305"/>
      <c r="AE79" s="305"/>
      <c r="AF79" s="305"/>
      <c r="AG79" s="305"/>
      <c r="AH79" s="305"/>
      <c r="AI79" s="305"/>
      <c r="AJ79" s="305"/>
      <c r="AK79" s="305"/>
      <c r="AL79" s="305"/>
      <c r="AM79" s="305"/>
      <c r="AN79" s="305"/>
      <c r="AO79" s="305"/>
      <c r="AP79" s="305"/>
      <c r="AQ79" s="305"/>
      <c r="AR79" s="305"/>
      <c r="AS79" s="305"/>
      <c r="AT79" s="305"/>
      <c r="AU79" s="305"/>
      <c r="AV79" s="305"/>
      <c r="AW79" s="305"/>
      <c r="AX79" s="305"/>
      <c r="AY79" s="305"/>
      <c r="AZ79" s="305"/>
      <c r="BA79" s="305"/>
      <c r="BB79" s="305"/>
      <c r="BC79" s="305"/>
      <c r="BD79" s="305"/>
      <c r="BE79" s="305"/>
      <c r="BF79" s="305"/>
      <c r="BG79" s="305"/>
      <c r="BH79" s="305"/>
      <c r="BI79" s="305"/>
      <c r="BJ79" s="305"/>
      <c r="BK79" s="305"/>
      <c r="BL79" s="305"/>
      <c r="BM79" s="305"/>
      <c r="BN79" s="305"/>
      <c r="BO79" s="280"/>
      <c r="BP79" s="280"/>
    </row>
    <row r="80" spans="2:68" x14ac:dyDescent="0.25">
      <c r="B80" s="280" t="s">
        <v>2</v>
      </c>
      <c r="C80" s="280"/>
      <c r="D80" s="315">
        <f>IF(首頁!G7=TRUE, IF(首頁!M3="", 武器!J21, INDEX(武器!J21:N21, 1, 首頁!M3)),"")</f>
        <v>30</v>
      </c>
      <c r="E80" s="280"/>
      <c r="F80" s="280"/>
      <c r="G80" s="280"/>
      <c r="H80" s="280"/>
      <c r="I80" s="280"/>
      <c r="J80" s="280"/>
      <c r="K80" s="305"/>
      <c r="L80" s="305"/>
      <c r="M80" s="305"/>
      <c r="N80" s="305"/>
      <c r="O80" s="305"/>
      <c r="P80" s="305"/>
      <c r="Q80" s="305"/>
      <c r="R80" s="305"/>
      <c r="S80" s="305"/>
      <c r="T80" s="305"/>
      <c r="U80" s="305"/>
      <c r="V80" s="305"/>
      <c r="W80" s="305"/>
      <c r="X80" s="305"/>
      <c r="Y80" s="305"/>
      <c r="Z80" s="305"/>
      <c r="AA80" s="305"/>
      <c r="AB80" s="305"/>
      <c r="AC80" s="305"/>
      <c r="AD80" s="305"/>
      <c r="AE80" s="305"/>
      <c r="AF80" s="305"/>
      <c r="AG80" s="305"/>
      <c r="AH80" s="305"/>
      <c r="AI80" s="305"/>
      <c r="AJ80" s="305"/>
      <c r="AK80" s="305"/>
      <c r="AL80" s="305"/>
      <c r="AM80" s="305"/>
      <c r="AN80" s="305"/>
      <c r="AO80" s="305"/>
      <c r="AP80" s="305"/>
      <c r="AQ80" s="305"/>
      <c r="AR80" s="305"/>
      <c r="AS80" s="305"/>
      <c r="AT80" s="305"/>
      <c r="AU80" s="305"/>
      <c r="AV80" s="305"/>
      <c r="AW80" s="305"/>
      <c r="AX80" s="305"/>
      <c r="AY80" s="305"/>
      <c r="AZ80" s="305"/>
      <c r="BA80" s="305"/>
      <c r="BB80" s="305"/>
      <c r="BC80" s="305"/>
      <c r="BD80" s="305"/>
      <c r="BE80" s="305"/>
      <c r="BF80" s="305"/>
      <c r="BG80" s="305"/>
      <c r="BH80" s="305"/>
      <c r="BI80" s="305"/>
      <c r="BJ80" s="305"/>
      <c r="BK80" s="305"/>
      <c r="BL80" s="305"/>
      <c r="BM80" s="305"/>
      <c r="BN80" s="305"/>
      <c r="BO80" s="280" t="s">
        <v>2</v>
      </c>
      <c r="BP80" s="324">
        <f>IF(首頁!G7=TRUE, (100+D80)%, 1)</f>
        <v>1.3</v>
      </c>
    </row>
    <row r="81" spans="2:70" x14ac:dyDescent="0.25">
      <c r="B81" s="280"/>
      <c r="C81" s="280"/>
      <c r="D81" s="280"/>
      <c r="E81" s="280"/>
      <c r="F81" s="280"/>
      <c r="G81" s="280"/>
      <c r="H81" s="280"/>
      <c r="I81" s="280"/>
      <c r="J81" s="280"/>
      <c r="K81" s="305"/>
      <c r="L81" s="305"/>
      <c r="M81" s="305"/>
      <c r="N81" s="305"/>
      <c r="O81" s="305"/>
      <c r="P81" s="305"/>
      <c r="Q81" s="305"/>
      <c r="R81" s="305"/>
      <c r="S81" s="305"/>
      <c r="T81" s="305"/>
      <c r="U81" s="305"/>
      <c r="V81" s="305"/>
      <c r="W81" s="305"/>
      <c r="X81" s="305"/>
      <c r="Y81" s="305"/>
      <c r="Z81" s="305"/>
      <c r="AA81" s="305"/>
      <c r="AB81" s="305"/>
      <c r="AC81" s="305"/>
      <c r="AD81" s="305"/>
      <c r="AE81" s="305"/>
      <c r="AF81" s="305"/>
      <c r="AG81" s="305"/>
      <c r="AH81" s="305"/>
      <c r="AI81" s="305"/>
      <c r="AJ81" s="305"/>
      <c r="AK81" s="305"/>
      <c r="AL81" s="305"/>
      <c r="AM81" s="305"/>
      <c r="AN81" s="305"/>
      <c r="AO81" s="305"/>
      <c r="AP81" s="305"/>
      <c r="AQ81" s="305"/>
      <c r="AR81" s="305"/>
      <c r="AS81" s="305"/>
      <c r="AT81" s="305"/>
      <c r="AU81" s="305"/>
      <c r="AV81" s="305"/>
      <c r="AW81" s="305"/>
      <c r="AX81" s="305"/>
      <c r="AY81" s="305"/>
      <c r="AZ81" s="305"/>
      <c r="BA81" s="305"/>
      <c r="BB81" s="305"/>
      <c r="BC81" s="305"/>
      <c r="BD81" s="305"/>
      <c r="BE81" s="305"/>
      <c r="BF81" s="305"/>
      <c r="BG81" s="305"/>
      <c r="BH81" s="305"/>
      <c r="BI81" s="305"/>
      <c r="BJ81" s="305"/>
      <c r="BK81" s="305"/>
      <c r="BL81" s="305"/>
      <c r="BM81" s="305"/>
      <c r="BN81" s="305"/>
      <c r="BO81" s="305"/>
      <c r="BP81" s="305"/>
    </row>
    <row r="82" spans="2:70" x14ac:dyDescent="0.25">
      <c r="B82" s="280" t="s">
        <v>309</v>
      </c>
      <c r="C82" s="280"/>
      <c r="D82" s="280"/>
      <c r="E82" s="280"/>
      <c r="F82" s="280"/>
      <c r="G82" s="280"/>
      <c r="H82" s="280"/>
      <c r="I82" s="280"/>
      <c r="J82" s="280"/>
      <c r="K82" s="305"/>
      <c r="L82" s="305"/>
      <c r="M82" s="305"/>
      <c r="N82" s="305"/>
      <c r="O82" s="305"/>
      <c r="P82" s="305"/>
      <c r="Q82" s="305"/>
      <c r="R82" s="305"/>
      <c r="S82" s="305"/>
      <c r="T82" s="305"/>
      <c r="U82" s="305"/>
      <c r="V82" s="305"/>
      <c r="W82" s="329"/>
      <c r="X82" s="305"/>
      <c r="Y82" s="305"/>
      <c r="Z82" s="305"/>
      <c r="AA82" s="305"/>
      <c r="AB82" s="305"/>
      <c r="AC82" s="305"/>
      <c r="AD82" s="305"/>
      <c r="AE82" s="305"/>
      <c r="AF82" s="305"/>
      <c r="AG82" s="305"/>
      <c r="AH82" s="305"/>
      <c r="AI82" s="305"/>
      <c r="AJ82" s="305"/>
      <c r="AK82" s="305"/>
      <c r="AL82" s="305"/>
      <c r="AM82" s="305"/>
      <c r="AN82" s="305"/>
      <c r="AO82" s="305"/>
      <c r="AP82" s="305"/>
      <c r="AQ82" s="305"/>
      <c r="AR82" s="305"/>
      <c r="AS82" s="305"/>
      <c r="AT82" s="305"/>
      <c r="AU82" s="305"/>
      <c r="AV82" s="305"/>
      <c r="AW82" s="305"/>
      <c r="AX82" s="305"/>
      <c r="AY82" s="305"/>
      <c r="AZ82" s="305"/>
      <c r="BA82" s="305"/>
      <c r="BB82" s="305"/>
      <c r="BC82" s="305"/>
      <c r="BD82" s="305"/>
      <c r="BE82" s="305"/>
      <c r="BF82" s="305"/>
      <c r="BG82" s="305"/>
      <c r="BH82" s="305"/>
      <c r="BI82" s="305"/>
      <c r="BJ82" s="305"/>
      <c r="BK82" s="305"/>
      <c r="BL82" s="305"/>
      <c r="BM82" s="305"/>
      <c r="BN82" s="305"/>
      <c r="BO82" s="305"/>
      <c r="BP82" s="305"/>
    </row>
    <row r="83" spans="2:70" x14ac:dyDescent="0.25">
      <c r="B83" s="280"/>
      <c r="C83" s="280"/>
      <c r="D83" s="280"/>
      <c r="E83" s="280"/>
      <c r="F83" s="280"/>
      <c r="G83" s="280"/>
      <c r="H83" s="280"/>
      <c r="I83" s="280"/>
      <c r="J83" s="280"/>
      <c r="K83" s="305"/>
      <c r="L83" s="305"/>
      <c r="M83" s="305"/>
      <c r="N83" s="305"/>
      <c r="O83" s="305"/>
      <c r="P83" s="305"/>
      <c r="Q83" s="305"/>
      <c r="R83" s="305"/>
      <c r="S83" s="305"/>
      <c r="T83" s="305"/>
      <c r="U83" s="305"/>
      <c r="V83" s="305"/>
      <c r="W83" s="305"/>
      <c r="X83" s="305"/>
      <c r="Y83" s="305"/>
      <c r="Z83" s="305"/>
      <c r="AA83" s="305"/>
      <c r="AB83" s="305"/>
      <c r="AC83" s="305"/>
      <c r="AD83" s="305"/>
      <c r="AE83" s="305"/>
      <c r="AF83" s="305"/>
      <c r="AG83" s="305"/>
      <c r="AH83" s="305"/>
      <c r="AI83" s="305"/>
      <c r="AJ83" s="305"/>
      <c r="AK83" s="305"/>
      <c r="AL83" s="305"/>
      <c r="AM83" s="305"/>
      <c r="AN83" s="305"/>
      <c r="AO83" s="305"/>
      <c r="AP83" s="305"/>
      <c r="AQ83" s="305"/>
      <c r="AR83" s="305"/>
      <c r="AS83" s="305"/>
      <c r="AT83" s="305"/>
      <c r="AU83" s="305"/>
      <c r="AV83" s="305"/>
      <c r="AW83" s="305"/>
      <c r="AX83" s="305"/>
      <c r="AY83" s="305"/>
      <c r="AZ83" s="305"/>
      <c r="BA83" s="305"/>
      <c r="BB83" s="305"/>
      <c r="BC83" s="305"/>
      <c r="BD83" s="305"/>
      <c r="BE83" s="305"/>
      <c r="BF83" s="305"/>
      <c r="BG83" s="305"/>
      <c r="BH83" s="305"/>
      <c r="BI83" s="305"/>
      <c r="BJ83" s="305"/>
      <c r="BK83" s="305"/>
      <c r="BL83" s="305"/>
      <c r="BM83" s="305"/>
      <c r="BN83" s="305"/>
      <c r="BO83" s="305"/>
      <c r="BP83" s="305"/>
    </row>
    <row r="84" spans="2:70" x14ac:dyDescent="0.25">
      <c r="B84" s="280" t="s">
        <v>308</v>
      </c>
      <c r="C84" s="280"/>
      <c r="D84" s="280"/>
      <c r="E84" s="280"/>
      <c r="F84" s="280"/>
      <c r="G84" s="280"/>
      <c r="H84" s="280"/>
      <c r="I84" s="280"/>
      <c r="J84" s="280"/>
      <c r="K84" s="305"/>
      <c r="L84" s="305"/>
      <c r="M84" s="305"/>
      <c r="N84" s="305"/>
      <c r="O84" s="305"/>
      <c r="P84" s="305"/>
      <c r="Q84" s="305"/>
      <c r="R84" s="305"/>
      <c r="S84" s="305"/>
      <c r="T84" s="305"/>
      <c r="U84" s="305"/>
      <c r="V84" s="305"/>
      <c r="W84" s="305"/>
      <c r="X84" s="305"/>
      <c r="Y84" s="305"/>
      <c r="Z84" s="305"/>
      <c r="AA84" s="305"/>
      <c r="AB84" s="305"/>
      <c r="AC84" s="305"/>
      <c r="AD84" s="305"/>
      <c r="AE84" s="305"/>
      <c r="AF84" s="305"/>
      <c r="AG84" s="305"/>
      <c r="AH84" s="305"/>
      <c r="AI84" s="305"/>
      <c r="AJ84" s="305"/>
      <c r="AK84" s="305"/>
      <c r="AL84" s="305"/>
      <c r="AM84" s="305"/>
      <c r="AN84" s="305"/>
      <c r="AO84" s="305"/>
      <c r="AP84" s="305"/>
      <c r="AQ84" s="305"/>
      <c r="AR84" s="305"/>
      <c r="AS84" s="305"/>
      <c r="AT84" s="305"/>
      <c r="AU84" s="305"/>
      <c r="AV84" s="305"/>
      <c r="AW84" s="305"/>
      <c r="AX84" s="305"/>
      <c r="AY84" s="305"/>
      <c r="AZ84" s="305"/>
      <c r="BA84" s="305"/>
      <c r="BB84" s="305"/>
      <c r="BC84" s="305"/>
      <c r="BD84" s="305"/>
      <c r="BE84" s="305"/>
      <c r="BF84" s="305"/>
      <c r="BG84" s="305"/>
      <c r="BH84" s="305"/>
      <c r="BI84" s="305"/>
      <c r="BJ84" s="305"/>
      <c r="BK84" s="305"/>
      <c r="BL84" s="305"/>
      <c r="BM84" s="305"/>
      <c r="BN84" s="305"/>
      <c r="BO84" s="305"/>
      <c r="BP84" s="305"/>
      <c r="BQ84" s="330"/>
      <c r="BR84" s="331"/>
    </row>
  </sheetData>
  <mergeCells count="11">
    <mergeCell ref="C2:F2"/>
    <mergeCell ref="G2:J2"/>
    <mergeCell ref="K2:N2"/>
    <mergeCell ref="O2:R2"/>
    <mergeCell ref="BQ2:BQ3"/>
    <mergeCell ref="V2:AV2"/>
    <mergeCell ref="T2:U2"/>
    <mergeCell ref="BN2:BN3"/>
    <mergeCell ref="AW2:BH2"/>
    <mergeCell ref="BJ2:BM2"/>
    <mergeCell ref="BI2:BI3"/>
  </mergeCells>
  <phoneticPr fontId="1" type="noConversion"/>
  <pageMargins left="0.7" right="0.7" top="0.75" bottom="0.75" header="0.3" footer="0.3"/>
  <ignoredErrors>
    <ignoredError sqref="H4:H9 D80 D21 D32 D26 P9:P10 G21 O26 H26 H32 H34 L15:L20 P58 P23 L25:L26 P25:P26 C28:G28 D24:R24 P15:P19 P32:P33 L33:L47 P52:P53 P36:P47 H28:L28 H38 L10 P20:P21 H50 L52" formulaRange="1"/>
  </ignoredErrors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99BDB0-1F47-4846-B7FE-8B971A767F41}">
  <sheetPr codeName="工作表10"/>
  <dimension ref="A2:X76"/>
  <sheetViews>
    <sheetView zoomScale="85" zoomScaleNormal="85" workbookViewId="0">
      <selection activeCell="E39" sqref="E39"/>
    </sheetView>
  </sheetViews>
  <sheetFormatPr defaultRowHeight="16.5" x14ac:dyDescent="0.3"/>
  <cols>
    <col min="1" max="1" width="9.140625" style="11"/>
    <col min="2" max="2" width="24.85546875" style="11" customWidth="1"/>
    <col min="3" max="4" width="2.42578125" style="11" customWidth="1"/>
    <col min="5" max="5" width="11.85546875" style="11" customWidth="1"/>
    <col min="6" max="9" width="9.140625" style="11"/>
    <col min="10" max="10" width="9.140625" style="11" customWidth="1"/>
    <col min="11" max="11" width="0.85546875" style="14" customWidth="1"/>
    <col min="12" max="12" width="9.140625" style="10"/>
    <col min="15" max="15" width="9.140625" style="11"/>
    <col min="16" max="16" width="13.28515625" customWidth="1"/>
    <col min="17" max="17" width="13.42578125" customWidth="1"/>
    <col min="20" max="20" width="33" customWidth="1"/>
    <col min="25" max="25" width="9.5703125" bestFit="1" customWidth="1"/>
  </cols>
  <sheetData>
    <row r="2" spans="2:24" x14ac:dyDescent="0.3">
      <c r="B2" s="499" t="s">
        <v>50</v>
      </c>
      <c r="C2" s="513" t="s">
        <v>102</v>
      </c>
      <c r="D2" s="499"/>
      <c r="E2" s="500" t="s">
        <v>68</v>
      </c>
      <c r="F2" s="499" t="s">
        <v>54</v>
      </c>
      <c r="G2" s="499"/>
      <c r="H2" s="499"/>
      <c r="I2" s="499"/>
      <c r="J2" s="499"/>
      <c r="K2" s="98"/>
      <c r="L2" s="514" t="s">
        <v>69</v>
      </c>
      <c r="M2" s="515"/>
      <c r="N2" s="516"/>
      <c r="O2" s="510" t="s">
        <v>284</v>
      </c>
      <c r="P2" s="511"/>
      <c r="Q2" s="512"/>
      <c r="R2" s="38"/>
      <c r="S2" s="38"/>
      <c r="T2" s="38"/>
      <c r="U2" s="38"/>
    </row>
    <row r="3" spans="2:24" x14ac:dyDescent="0.25">
      <c r="B3" s="499"/>
      <c r="C3" s="499"/>
      <c r="D3" s="499"/>
      <c r="E3" s="499"/>
      <c r="F3" s="96">
        <v>1</v>
      </c>
      <c r="G3" s="96">
        <v>2</v>
      </c>
      <c r="H3" s="96">
        <v>3</v>
      </c>
      <c r="I3" s="96">
        <v>4</v>
      </c>
      <c r="J3" s="96">
        <v>5</v>
      </c>
      <c r="K3" s="97"/>
      <c r="L3" s="96" t="s">
        <v>12</v>
      </c>
      <c r="M3" s="96" t="s">
        <v>65</v>
      </c>
      <c r="N3" s="96" t="s">
        <v>112</v>
      </c>
      <c r="O3" s="96" t="s">
        <v>64</v>
      </c>
      <c r="P3" s="104" t="s">
        <v>70</v>
      </c>
      <c r="Q3" s="104" t="s">
        <v>283</v>
      </c>
      <c r="R3" s="38"/>
      <c r="S3" s="499" t="s">
        <v>50</v>
      </c>
      <c r="T3" s="499"/>
      <c r="U3" s="96" t="s">
        <v>237</v>
      </c>
      <c r="W3" s="1" t="s">
        <v>311</v>
      </c>
      <c r="X3" s="11">
        <v>50</v>
      </c>
    </row>
    <row r="4" spans="2:24" x14ac:dyDescent="0.3">
      <c r="B4" s="99" t="s">
        <v>56</v>
      </c>
      <c r="C4" s="96"/>
      <c r="D4" s="96"/>
      <c r="E4" s="97" t="s">
        <v>10</v>
      </c>
      <c r="F4" s="96">
        <v>3.6</v>
      </c>
      <c r="G4" s="96">
        <v>4.2</v>
      </c>
      <c r="H4" s="96">
        <v>4.8</v>
      </c>
      <c r="I4" s="96">
        <v>5.4</v>
      </c>
      <c r="J4" s="96">
        <v>6</v>
      </c>
      <c r="K4" s="98"/>
      <c r="L4" s="96">
        <v>35</v>
      </c>
      <c r="M4" s="52" t="s">
        <v>71</v>
      </c>
      <c r="N4" s="96"/>
      <c r="O4" s="96">
        <v>5</v>
      </c>
      <c r="P4" s="97">
        <v>5</v>
      </c>
      <c r="Q4" s="7"/>
      <c r="R4" s="38"/>
      <c r="S4" s="101" t="s">
        <v>158</v>
      </c>
      <c r="T4" s="96" t="s">
        <v>56</v>
      </c>
      <c r="U4" s="96">
        <v>5</v>
      </c>
      <c r="V4" s="41"/>
      <c r="W4" s="107"/>
      <c r="X4" s="11">
        <v>60</v>
      </c>
    </row>
    <row r="5" spans="2:24" x14ac:dyDescent="0.3">
      <c r="B5" s="507" t="s">
        <v>58</v>
      </c>
      <c r="C5" s="499"/>
      <c r="D5" s="499"/>
      <c r="E5" s="97" t="s">
        <v>66</v>
      </c>
      <c r="F5" s="96">
        <v>15</v>
      </c>
      <c r="G5" s="96">
        <v>17.5</v>
      </c>
      <c r="H5" s="96">
        <v>20</v>
      </c>
      <c r="I5" s="96">
        <v>22.5</v>
      </c>
      <c r="J5" s="96">
        <v>25</v>
      </c>
      <c r="K5" s="98"/>
      <c r="L5" s="52" t="s">
        <v>71</v>
      </c>
      <c r="M5" s="499">
        <v>35</v>
      </c>
      <c r="N5" s="96"/>
      <c r="O5" s="96">
        <v>3</v>
      </c>
      <c r="P5" s="52" t="s">
        <v>71</v>
      </c>
      <c r="Q5" s="7"/>
      <c r="R5" s="38"/>
      <c r="S5" s="96" t="s">
        <v>158</v>
      </c>
      <c r="T5" s="96" t="s">
        <v>58</v>
      </c>
      <c r="U5" s="96">
        <v>3</v>
      </c>
      <c r="V5" s="41"/>
      <c r="W5" s="107"/>
      <c r="X5" s="11">
        <v>70</v>
      </c>
    </row>
    <row r="6" spans="2:24" x14ac:dyDescent="0.3">
      <c r="B6" s="502"/>
      <c r="C6" s="499"/>
      <c r="D6" s="499"/>
      <c r="E6" s="97" t="s">
        <v>67</v>
      </c>
      <c r="F6" s="96">
        <v>125</v>
      </c>
      <c r="G6" s="96">
        <v>150</v>
      </c>
      <c r="H6" s="96">
        <v>175</v>
      </c>
      <c r="I6" s="96">
        <v>200</v>
      </c>
      <c r="J6" s="96">
        <v>225</v>
      </c>
      <c r="K6" s="98"/>
      <c r="L6" s="52" t="s">
        <v>71</v>
      </c>
      <c r="M6" s="499"/>
      <c r="N6" s="96"/>
      <c r="O6" s="96">
        <v>3</v>
      </c>
      <c r="P6" s="97">
        <v>15</v>
      </c>
      <c r="Q6" s="7"/>
      <c r="R6" s="38"/>
      <c r="S6" s="96" t="s">
        <v>158</v>
      </c>
      <c r="T6" s="96" t="s">
        <v>59</v>
      </c>
      <c r="U6" s="96"/>
      <c r="V6" s="41"/>
      <c r="W6" s="107"/>
      <c r="X6" s="108">
        <v>74</v>
      </c>
    </row>
    <row r="7" spans="2:24" x14ac:dyDescent="0.3">
      <c r="B7" s="506" t="s">
        <v>60</v>
      </c>
      <c r="C7" s="499"/>
      <c r="D7" s="499"/>
      <c r="E7" s="97" t="s">
        <v>1</v>
      </c>
      <c r="F7" s="96">
        <v>-15</v>
      </c>
      <c r="G7" s="96">
        <v>-15</v>
      </c>
      <c r="H7" s="96">
        <v>-15</v>
      </c>
      <c r="I7" s="96">
        <v>-15</v>
      </c>
      <c r="J7" s="96">
        <v>-15</v>
      </c>
      <c r="K7" s="98"/>
      <c r="L7" s="499">
        <v>35</v>
      </c>
      <c r="M7" s="52" t="s">
        <v>71</v>
      </c>
      <c r="N7" s="96"/>
      <c r="O7" s="52" t="s">
        <v>71</v>
      </c>
      <c r="P7" s="52" t="s">
        <v>71</v>
      </c>
      <c r="Q7" s="7"/>
      <c r="R7" s="38"/>
      <c r="S7" s="105" t="s">
        <v>235</v>
      </c>
      <c r="T7" s="96" t="s">
        <v>279</v>
      </c>
      <c r="U7" s="96"/>
      <c r="V7" s="41"/>
      <c r="W7" s="107"/>
      <c r="X7" s="11">
        <v>75</v>
      </c>
    </row>
    <row r="8" spans="2:24" x14ac:dyDescent="0.25">
      <c r="B8" s="502"/>
      <c r="C8" s="499"/>
      <c r="D8" s="499"/>
      <c r="E8" s="97" t="s">
        <v>37</v>
      </c>
      <c r="F8" s="96">
        <v>70</v>
      </c>
      <c r="G8" s="96">
        <v>85</v>
      </c>
      <c r="H8" s="96">
        <v>100</v>
      </c>
      <c r="I8" s="96">
        <v>115</v>
      </c>
      <c r="J8" s="96">
        <v>130</v>
      </c>
      <c r="K8" s="97"/>
      <c r="L8" s="499"/>
      <c r="M8" s="52" t="s">
        <v>71</v>
      </c>
      <c r="N8" s="96"/>
      <c r="O8" s="52" t="s">
        <v>71</v>
      </c>
      <c r="P8" s="52" t="s">
        <v>71</v>
      </c>
      <c r="Q8" s="7"/>
      <c r="R8" s="38"/>
      <c r="S8" s="105" t="s">
        <v>235</v>
      </c>
      <c r="T8" s="96" t="s">
        <v>281</v>
      </c>
      <c r="U8" s="96">
        <v>3</v>
      </c>
      <c r="V8" s="41"/>
      <c r="W8" s="107"/>
      <c r="X8" s="11">
        <v>80</v>
      </c>
    </row>
    <row r="9" spans="2:24" x14ac:dyDescent="0.25">
      <c r="B9" s="99" t="s">
        <v>61</v>
      </c>
      <c r="C9" s="96"/>
      <c r="D9" s="96"/>
      <c r="E9" s="97" t="s">
        <v>12</v>
      </c>
      <c r="F9" s="96">
        <v>40</v>
      </c>
      <c r="G9" s="96">
        <v>46.5</v>
      </c>
      <c r="H9" s="96">
        <v>53</v>
      </c>
      <c r="I9" s="96">
        <v>59.5</v>
      </c>
      <c r="J9" s="96">
        <v>66</v>
      </c>
      <c r="K9" s="97"/>
      <c r="L9" s="96">
        <v>35</v>
      </c>
      <c r="M9" s="52" t="s">
        <v>71</v>
      </c>
      <c r="N9" s="96"/>
      <c r="O9" s="52" t="s">
        <v>71</v>
      </c>
      <c r="P9" s="97">
        <v>12</v>
      </c>
      <c r="Q9" s="7"/>
      <c r="R9" s="38"/>
      <c r="S9" s="48" t="s">
        <v>235</v>
      </c>
      <c r="T9" s="104" t="s">
        <v>282</v>
      </c>
      <c r="U9" s="96"/>
      <c r="V9" s="41"/>
      <c r="W9" s="107"/>
      <c r="X9" s="11">
        <v>90</v>
      </c>
    </row>
    <row r="10" spans="2:24" x14ac:dyDescent="0.25">
      <c r="B10" s="502" t="s">
        <v>13</v>
      </c>
      <c r="C10" s="499"/>
      <c r="D10" s="499"/>
      <c r="E10" s="97" t="s">
        <v>12</v>
      </c>
      <c r="F10" s="96">
        <v>5.6</v>
      </c>
      <c r="G10" s="96">
        <v>6.8</v>
      </c>
      <c r="H10" s="96">
        <v>8</v>
      </c>
      <c r="I10" s="96">
        <v>9.1999999999999993</v>
      </c>
      <c r="J10" s="96">
        <v>10.4</v>
      </c>
      <c r="K10" s="97"/>
      <c r="L10" s="499">
        <v>35</v>
      </c>
      <c r="M10" s="52" t="s">
        <v>71</v>
      </c>
      <c r="N10" s="96"/>
      <c r="O10" s="96">
        <v>4</v>
      </c>
      <c r="P10" s="97">
        <v>1</v>
      </c>
      <c r="Q10" s="7"/>
      <c r="R10" s="38"/>
      <c r="S10" s="48" t="s">
        <v>235</v>
      </c>
      <c r="T10" s="104" t="s">
        <v>285</v>
      </c>
      <c r="U10" s="96">
        <v>2</v>
      </c>
      <c r="X10" s="11">
        <v>100</v>
      </c>
    </row>
    <row r="11" spans="2:24" x14ac:dyDescent="0.25">
      <c r="B11" s="502"/>
      <c r="C11" s="499"/>
      <c r="D11" s="499"/>
      <c r="E11" s="97" t="s">
        <v>37</v>
      </c>
      <c r="F11" s="96">
        <v>5.6</v>
      </c>
      <c r="G11" s="96">
        <v>6.8</v>
      </c>
      <c r="H11" s="96">
        <v>8</v>
      </c>
      <c r="I11" s="96">
        <v>9.1999999999999993</v>
      </c>
      <c r="J11" s="96">
        <v>10.4</v>
      </c>
      <c r="K11" s="97"/>
      <c r="L11" s="499"/>
      <c r="M11" s="52" t="s">
        <v>71</v>
      </c>
      <c r="N11" s="96"/>
      <c r="O11" s="96">
        <v>4</v>
      </c>
      <c r="P11" s="97">
        <v>1</v>
      </c>
      <c r="Q11" s="7"/>
      <c r="R11" s="38"/>
      <c r="S11" s="48" t="s">
        <v>235</v>
      </c>
      <c r="T11" s="104" t="s">
        <v>287</v>
      </c>
      <c r="U11" s="96"/>
    </row>
    <row r="12" spans="2:24" x14ac:dyDescent="0.25">
      <c r="B12" s="503" t="s">
        <v>72</v>
      </c>
      <c r="C12" s="509"/>
      <c r="D12" s="509"/>
      <c r="E12" s="97" t="s">
        <v>37</v>
      </c>
      <c r="F12" s="96">
        <v>3</v>
      </c>
      <c r="G12" s="96">
        <v>4.4000000000000004</v>
      </c>
      <c r="H12" s="96">
        <v>5.8</v>
      </c>
      <c r="I12" s="96">
        <v>7.2</v>
      </c>
      <c r="J12" s="96">
        <v>8.6</v>
      </c>
      <c r="K12" s="97"/>
      <c r="L12" s="499">
        <v>35</v>
      </c>
      <c r="M12" s="52" t="s">
        <v>71</v>
      </c>
      <c r="N12" s="96"/>
      <c r="O12" s="96">
        <v>6</v>
      </c>
      <c r="P12" s="97">
        <v>2</v>
      </c>
      <c r="Q12" s="7"/>
      <c r="R12" s="38"/>
      <c r="S12" s="48" t="s">
        <v>235</v>
      </c>
      <c r="T12" s="104" t="s">
        <v>289</v>
      </c>
      <c r="U12" s="96">
        <v>3</v>
      </c>
    </row>
    <row r="13" spans="2:24" x14ac:dyDescent="0.25">
      <c r="B13" s="504"/>
      <c r="C13" s="509"/>
      <c r="D13" s="509"/>
      <c r="E13" s="97" t="s">
        <v>12</v>
      </c>
      <c r="F13" s="96">
        <v>20</v>
      </c>
      <c r="G13" s="96">
        <v>23</v>
      </c>
      <c r="H13" s="96">
        <v>26</v>
      </c>
      <c r="I13" s="96">
        <v>29</v>
      </c>
      <c r="J13" s="96">
        <v>32</v>
      </c>
      <c r="K13" s="97"/>
      <c r="L13" s="499"/>
      <c r="M13" s="52" t="s">
        <v>71</v>
      </c>
      <c r="N13" s="96"/>
      <c r="O13" s="96">
        <v>6</v>
      </c>
      <c r="P13" s="97">
        <v>2</v>
      </c>
      <c r="Q13" s="7"/>
      <c r="R13" s="38"/>
      <c r="S13" s="48" t="s">
        <v>235</v>
      </c>
      <c r="T13" s="104" t="s">
        <v>290</v>
      </c>
      <c r="U13" s="96"/>
    </row>
    <row r="14" spans="2:24" x14ac:dyDescent="0.25">
      <c r="B14" s="505" t="s">
        <v>62</v>
      </c>
      <c r="C14" s="499"/>
      <c r="D14" s="499"/>
      <c r="E14" s="96" t="s">
        <v>73</v>
      </c>
      <c r="F14" s="96">
        <v>8</v>
      </c>
      <c r="G14" s="96">
        <v>10</v>
      </c>
      <c r="H14" s="96">
        <v>12</v>
      </c>
      <c r="I14" s="96">
        <v>14</v>
      </c>
      <c r="J14" s="96">
        <v>16</v>
      </c>
      <c r="K14" s="97"/>
      <c r="L14" s="499">
        <v>35</v>
      </c>
      <c r="M14" s="52" t="s">
        <v>71</v>
      </c>
      <c r="N14" s="96"/>
      <c r="O14" s="52" t="s">
        <v>71</v>
      </c>
      <c r="P14" s="52" t="s">
        <v>71</v>
      </c>
      <c r="Q14" s="7"/>
      <c r="R14" s="38"/>
      <c r="S14" s="48" t="s">
        <v>235</v>
      </c>
      <c r="T14" s="104" t="s">
        <v>292</v>
      </c>
      <c r="U14" s="96">
        <v>5</v>
      </c>
    </row>
    <row r="15" spans="2:24" x14ac:dyDescent="0.25">
      <c r="B15" s="502"/>
      <c r="C15" s="499"/>
      <c r="D15" s="499"/>
      <c r="E15" s="96" t="s">
        <v>74</v>
      </c>
      <c r="F15" s="96">
        <v>40</v>
      </c>
      <c r="G15" s="96">
        <v>52</v>
      </c>
      <c r="H15" s="96">
        <v>64</v>
      </c>
      <c r="I15" s="96">
        <v>78</v>
      </c>
      <c r="J15" s="96">
        <v>90</v>
      </c>
      <c r="K15" s="97"/>
      <c r="L15" s="499"/>
      <c r="M15" s="52" t="s">
        <v>71</v>
      </c>
      <c r="N15" s="96"/>
      <c r="O15" s="52" t="s">
        <v>71</v>
      </c>
      <c r="P15" s="97">
        <v>10</v>
      </c>
      <c r="Q15" s="7"/>
      <c r="R15" s="38"/>
    </row>
    <row r="16" spans="2:24" ht="16.5" customHeight="1" x14ac:dyDescent="0.25">
      <c r="B16" s="504" t="s">
        <v>75</v>
      </c>
      <c r="C16" s="508"/>
      <c r="D16" s="508"/>
      <c r="E16" s="96" t="s">
        <v>12</v>
      </c>
      <c r="F16" s="96">
        <v>2</v>
      </c>
      <c r="G16" s="96">
        <v>3</v>
      </c>
      <c r="H16" s="96">
        <v>4</v>
      </c>
      <c r="I16" s="96">
        <v>5</v>
      </c>
      <c r="J16" s="96">
        <v>6</v>
      </c>
      <c r="K16" s="97"/>
      <c r="L16" s="499">
        <v>35</v>
      </c>
      <c r="M16" s="52" t="s">
        <v>71</v>
      </c>
      <c r="N16" s="96"/>
      <c r="O16" s="96">
        <v>6</v>
      </c>
      <c r="P16" s="97">
        <v>3</v>
      </c>
      <c r="Q16" s="7"/>
      <c r="R16" s="38"/>
      <c r="S16" s="101" t="s">
        <v>160</v>
      </c>
      <c r="T16" s="102" t="s">
        <v>157</v>
      </c>
      <c r="U16" s="96">
        <v>6</v>
      </c>
    </row>
    <row r="17" spans="2:21" x14ac:dyDescent="0.25">
      <c r="B17" s="504"/>
      <c r="C17" s="508"/>
      <c r="D17" s="508"/>
      <c r="E17" s="96" t="s">
        <v>37</v>
      </c>
      <c r="F17" s="96">
        <v>30</v>
      </c>
      <c r="G17" s="96">
        <v>30</v>
      </c>
      <c r="H17" s="96">
        <v>30</v>
      </c>
      <c r="I17" s="96">
        <v>30</v>
      </c>
      <c r="J17" s="96">
        <v>30</v>
      </c>
      <c r="K17" s="97"/>
      <c r="L17" s="499"/>
      <c r="M17" s="52" t="s">
        <v>71</v>
      </c>
      <c r="N17" s="96"/>
      <c r="O17" s="96">
        <v>6</v>
      </c>
      <c r="P17" s="97">
        <v>3</v>
      </c>
      <c r="Q17" s="7"/>
      <c r="R17" s="38"/>
      <c r="S17" s="96" t="s">
        <v>160</v>
      </c>
      <c r="T17" s="96" t="s">
        <v>62</v>
      </c>
      <c r="U17" s="96"/>
    </row>
    <row r="18" spans="2:21" x14ac:dyDescent="0.25">
      <c r="B18" s="501" t="s">
        <v>11</v>
      </c>
      <c r="C18" s="500"/>
      <c r="D18" s="500"/>
      <c r="E18" s="96" t="s">
        <v>10</v>
      </c>
      <c r="F18" s="96">
        <v>40</v>
      </c>
      <c r="G18" s="96">
        <v>47.5</v>
      </c>
      <c r="H18" s="96">
        <v>55</v>
      </c>
      <c r="I18" s="96">
        <v>62.5</v>
      </c>
      <c r="J18" s="96">
        <v>70</v>
      </c>
      <c r="K18" s="97"/>
      <c r="L18" s="96">
        <v>35</v>
      </c>
      <c r="M18" s="52" t="s">
        <v>71</v>
      </c>
      <c r="N18" s="96"/>
      <c r="O18" s="52" t="s">
        <v>71</v>
      </c>
      <c r="P18" s="52" t="s">
        <v>71</v>
      </c>
      <c r="Q18" s="7"/>
      <c r="R18" s="38"/>
      <c r="S18" s="101" t="s">
        <v>160</v>
      </c>
      <c r="T18" s="102" t="s">
        <v>276</v>
      </c>
      <c r="U18" s="96"/>
    </row>
    <row r="19" spans="2:21" x14ac:dyDescent="0.25">
      <c r="B19" s="502"/>
      <c r="C19" s="500"/>
      <c r="D19" s="500"/>
      <c r="E19" s="96" t="s">
        <v>76</v>
      </c>
      <c r="F19" s="96">
        <v>40</v>
      </c>
      <c r="G19" s="96">
        <v>47.5</v>
      </c>
      <c r="H19" s="96">
        <v>55</v>
      </c>
      <c r="I19" s="96">
        <v>62.5</v>
      </c>
      <c r="J19" s="96">
        <v>70</v>
      </c>
      <c r="K19" s="97"/>
      <c r="L19" s="52" t="s">
        <v>71</v>
      </c>
      <c r="M19" s="52" t="s">
        <v>71</v>
      </c>
      <c r="N19" s="96"/>
      <c r="O19" s="52" t="s">
        <v>71</v>
      </c>
      <c r="P19" s="52" t="s">
        <v>71</v>
      </c>
      <c r="Q19" s="7"/>
      <c r="R19" s="38"/>
      <c r="S19" s="105" t="s">
        <v>235</v>
      </c>
      <c r="T19" s="96" t="s">
        <v>279</v>
      </c>
      <c r="U19" s="96"/>
    </row>
    <row r="20" spans="2:21" x14ac:dyDescent="0.25">
      <c r="B20" s="502" t="s">
        <v>77</v>
      </c>
      <c r="C20" s="499"/>
      <c r="D20" s="499"/>
      <c r="E20" s="96" t="s">
        <v>10</v>
      </c>
      <c r="F20" s="96">
        <v>30</v>
      </c>
      <c r="G20" s="96">
        <v>40</v>
      </c>
      <c r="H20" s="96">
        <v>50</v>
      </c>
      <c r="I20" s="96">
        <v>60</v>
      </c>
      <c r="J20" s="96">
        <v>70</v>
      </c>
      <c r="K20" s="97"/>
      <c r="L20" s="96">
        <v>35</v>
      </c>
      <c r="M20" s="52" t="s">
        <v>71</v>
      </c>
      <c r="N20" s="96"/>
      <c r="O20" s="52" t="s">
        <v>71</v>
      </c>
      <c r="P20" s="52" t="s">
        <v>71</v>
      </c>
      <c r="Q20" s="7"/>
      <c r="R20" s="38"/>
      <c r="S20" s="105" t="s">
        <v>235</v>
      </c>
      <c r="T20" s="96" t="s">
        <v>281</v>
      </c>
      <c r="U20" s="96">
        <v>3</v>
      </c>
    </row>
    <row r="21" spans="2:21" x14ac:dyDescent="0.25">
      <c r="B21" s="502"/>
      <c r="C21" s="499"/>
      <c r="D21" s="499"/>
      <c r="E21" s="96" t="s">
        <v>10</v>
      </c>
      <c r="F21" s="96">
        <v>60</v>
      </c>
      <c r="G21" s="96">
        <v>80</v>
      </c>
      <c r="H21" s="96">
        <v>100</v>
      </c>
      <c r="I21" s="96">
        <v>120</v>
      </c>
      <c r="J21" s="96">
        <v>140</v>
      </c>
      <c r="K21" s="97"/>
      <c r="L21" s="52" t="s">
        <v>71</v>
      </c>
      <c r="M21" s="52" t="s">
        <v>71</v>
      </c>
      <c r="N21" s="96"/>
      <c r="O21" s="52" t="s">
        <v>71</v>
      </c>
      <c r="P21" s="52" t="s">
        <v>71</v>
      </c>
      <c r="Q21" s="7"/>
      <c r="R21" s="38"/>
      <c r="S21" s="48" t="s">
        <v>235</v>
      </c>
      <c r="T21" s="104" t="s">
        <v>282</v>
      </c>
      <c r="U21" s="96"/>
    </row>
    <row r="22" spans="2:21" x14ac:dyDescent="0.25">
      <c r="B22" s="99" t="s">
        <v>63</v>
      </c>
      <c r="C22" s="96"/>
      <c r="D22" s="96"/>
      <c r="E22" s="96" t="s">
        <v>37</v>
      </c>
      <c r="F22" s="96">
        <v>14</v>
      </c>
      <c r="G22" s="96">
        <v>17.5</v>
      </c>
      <c r="H22" s="96">
        <v>21</v>
      </c>
      <c r="I22" s="96">
        <v>24.5</v>
      </c>
      <c r="J22" s="96">
        <v>28</v>
      </c>
      <c r="K22" s="97"/>
      <c r="L22" s="96">
        <v>35</v>
      </c>
      <c r="M22" s="52" t="s">
        <v>71</v>
      </c>
      <c r="N22" s="96"/>
      <c r="O22" s="52" t="s">
        <v>71</v>
      </c>
      <c r="P22" s="97">
        <v>10</v>
      </c>
      <c r="Q22" s="7"/>
      <c r="R22" s="38"/>
      <c r="S22" s="48" t="s">
        <v>235</v>
      </c>
      <c r="T22" s="104" t="s">
        <v>285</v>
      </c>
      <c r="U22" s="96">
        <v>2</v>
      </c>
    </row>
    <row r="23" spans="2:21" x14ac:dyDescent="0.25">
      <c r="B23" s="502" t="s">
        <v>57</v>
      </c>
      <c r="C23" s="499"/>
      <c r="D23" s="499"/>
      <c r="E23" s="96" t="s">
        <v>78</v>
      </c>
      <c r="F23" s="96">
        <v>16</v>
      </c>
      <c r="G23" s="96">
        <v>18</v>
      </c>
      <c r="H23" s="96">
        <v>20</v>
      </c>
      <c r="I23" s="96">
        <v>22</v>
      </c>
      <c r="J23" s="96">
        <v>24</v>
      </c>
      <c r="K23" s="97"/>
      <c r="L23" s="52" t="s">
        <v>71</v>
      </c>
      <c r="M23" s="499">
        <v>35</v>
      </c>
      <c r="N23" s="96"/>
      <c r="O23" s="52" t="s">
        <v>71</v>
      </c>
      <c r="P23" s="52" t="s">
        <v>71</v>
      </c>
      <c r="Q23" s="7"/>
      <c r="R23" s="38"/>
      <c r="S23" s="48" t="s">
        <v>235</v>
      </c>
      <c r="T23" s="104" t="s">
        <v>287</v>
      </c>
      <c r="U23" s="96"/>
    </row>
    <row r="24" spans="2:21" x14ac:dyDescent="0.25">
      <c r="B24" s="502"/>
      <c r="C24" s="499"/>
      <c r="D24" s="499"/>
      <c r="E24" s="96" t="s">
        <v>37</v>
      </c>
      <c r="F24" s="96">
        <v>20</v>
      </c>
      <c r="G24" s="96">
        <v>25</v>
      </c>
      <c r="H24" s="96">
        <v>30</v>
      </c>
      <c r="I24" s="96">
        <v>35</v>
      </c>
      <c r="J24" s="96">
        <v>40</v>
      </c>
      <c r="K24" s="97"/>
      <c r="L24" s="52" t="s">
        <v>71</v>
      </c>
      <c r="M24" s="499"/>
      <c r="N24" s="96"/>
      <c r="O24" s="52" t="s">
        <v>71</v>
      </c>
      <c r="P24" s="52" t="s">
        <v>71</v>
      </c>
      <c r="Q24" s="7"/>
      <c r="R24" s="38"/>
      <c r="S24" s="48" t="s">
        <v>235</v>
      </c>
      <c r="T24" s="104" t="s">
        <v>289</v>
      </c>
      <c r="U24" s="96">
        <v>3</v>
      </c>
    </row>
    <row r="25" spans="2:21" x14ac:dyDescent="0.3">
      <c r="B25" s="502" t="s">
        <v>59</v>
      </c>
      <c r="C25" s="499"/>
      <c r="D25" s="499"/>
      <c r="E25" s="96" t="s">
        <v>12</v>
      </c>
      <c r="F25" s="96">
        <v>24</v>
      </c>
      <c r="G25" s="96">
        <v>28</v>
      </c>
      <c r="H25" s="96">
        <v>32</v>
      </c>
      <c r="I25" s="96">
        <v>36</v>
      </c>
      <c r="J25" s="96">
        <v>40</v>
      </c>
      <c r="K25" s="98"/>
      <c r="L25" s="499">
        <v>35</v>
      </c>
      <c r="M25" s="52" t="s">
        <v>71</v>
      </c>
      <c r="N25" s="96"/>
      <c r="O25" s="52" t="s">
        <v>71</v>
      </c>
      <c r="P25" s="500">
        <v>20</v>
      </c>
      <c r="Q25" s="7"/>
      <c r="R25" s="38"/>
      <c r="S25" s="48" t="s">
        <v>235</v>
      </c>
      <c r="T25" s="104" t="s">
        <v>290</v>
      </c>
      <c r="U25" s="96"/>
    </row>
    <row r="26" spans="2:21" x14ac:dyDescent="0.3">
      <c r="B26" s="502"/>
      <c r="C26" s="499"/>
      <c r="D26" s="499"/>
      <c r="E26" s="96" t="s">
        <v>79</v>
      </c>
      <c r="F26" s="96">
        <v>12</v>
      </c>
      <c r="G26" s="96">
        <v>14</v>
      </c>
      <c r="H26" s="96">
        <v>16</v>
      </c>
      <c r="I26" s="96">
        <v>18</v>
      </c>
      <c r="J26" s="96">
        <v>20</v>
      </c>
      <c r="K26" s="98"/>
      <c r="L26" s="499"/>
      <c r="M26" s="52" t="s">
        <v>71</v>
      </c>
      <c r="N26" s="96"/>
      <c r="O26" s="52" t="s">
        <v>71</v>
      </c>
      <c r="P26" s="500"/>
      <c r="Q26" s="7"/>
      <c r="S26" s="48" t="s">
        <v>235</v>
      </c>
      <c r="T26" s="104" t="s">
        <v>292</v>
      </c>
      <c r="U26" s="96">
        <v>5</v>
      </c>
    </row>
    <row r="27" spans="2:21" x14ac:dyDescent="0.3">
      <c r="B27" s="502"/>
      <c r="C27" s="499"/>
      <c r="D27" s="499"/>
      <c r="E27" s="96" t="s">
        <v>80</v>
      </c>
      <c r="F27" s="96">
        <v>24</v>
      </c>
      <c r="G27" s="96">
        <v>28</v>
      </c>
      <c r="H27" s="96">
        <v>32</v>
      </c>
      <c r="I27" s="96">
        <v>36</v>
      </c>
      <c r="J27" s="96">
        <v>40</v>
      </c>
      <c r="K27" s="98"/>
      <c r="L27" s="499"/>
      <c r="M27" s="52" t="s">
        <v>71</v>
      </c>
      <c r="N27" s="96"/>
      <c r="O27" s="52" t="s">
        <v>71</v>
      </c>
      <c r="P27" s="500"/>
      <c r="Q27" s="7"/>
    </row>
    <row r="28" spans="2:21" x14ac:dyDescent="0.3">
      <c r="B28" s="505" t="s">
        <v>276</v>
      </c>
      <c r="C28" s="96"/>
      <c r="D28" s="96"/>
      <c r="E28" s="96" t="s">
        <v>266</v>
      </c>
      <c r="F28" s="96">
        <v>12</v>
      </c>
      <c r="G28" s="96">
        <v>15</v>
      </c>
      <c r="H28" s="96">
        <v>18</v>
      </c>
      <c r="I28" s="96">
        <v>21</v>
      </c>
      <c r="J28" s="96">
        <v>24</v>
      </c>
      <c r="K28" s="98"/>
      <c r="L28" s="499">
        <v>35</v>
      </c>
      <c r="M28" s="96"/>
      <c r="N28" s="96"/>
      <c r="O28" s="96"/>
      <c r="P28" s="96"/>
      <c r="Q28" s="96"/>
      <c r="S28" s="96" t="s">
        <v>161</v>
      </c>
      <c r="T28" s="102" t="s">
        <v>156</v>
      </c>
      <c r="U28" s="96">
        <v>6</v>
      </c>
    </row>
    <row r="29" spans="2:21" x14ac:dyDescent="0.3">
      <c r="B29" s="502"/>
      <c r="C29" s="96"/>
      <c r="D29" s="96"/>
      <c r="E29" s="96" t="s">
        <v>278</v>
      </c>
      <c r="F29" s="96">
        <v>40</v>
      </c>
      <c r="G29" s="96">
        <v>50</v>
      </c>
      <c r="H29" s="96">
        <v>60</v>
      </c>
      <c r="I29" s="96">
        <v>70</v>
      </c>
      <c r="J29" s="96">
        <v>80</v>
      </c>
      <c r="K29" s="98"/>
      <c r="L29" s="499"/>
      <c r="M29" s="96"/>
      <c r="N29" s="96"/>
      <c r="O29" s="96"/>
      <c r="P29" s="96"/>
      <c r="Q29" s="96"/>
      <c r="S29" s="96" t="s">
        <v>161</v>
      </c>
      <c r="T29" s="97" t="s">
        <v>11</v>
      </c>
      <c r="U29" s="96"/>
    </row>
    <row r="30" spans="2:21" x14ac:dyDescent="0.3">
      <c r="B30" s="502"/>
      <c r="C30" s="96"/>
      <c r="D30" s="96"/>
      <c r="E30" s="96" t="s">
        <v>277</v>
      </c>
      <c r="F30" s="96">
        <v>40</v>
      </c>
      <c r="G30" s="96">
        <v>50</v>
      </c>
      <c r="H30" s="96">
        <v>60</v>
      </c>
      <c r="I30" s="96">
        <v>70</v>
      </c>
      <c r="J30" s="96">
        <v>80</v>
      </c>
      <c r="K30" s="98"/>
      <c r="L30" s="499"/>
      <c r="M30" s="96"/>
      <c r="N30" s="96"/>
      <c r="O30" s="96"/>
      <c r="P30" s="96"/>
      <c r="Q30" s="96"/>
      <c r="S30" s="96" t="s">
        <v>161</v>
      </c>
      <c r="T30" s="101" t="s">
        <v>155</v>
      </c>
      <c r="U30" s="96"/>
    </row>
    <row r="31" spans="2:21" x14ac:dyDescent="0.3">
      <c r="B31" s="507" t="s">
        <v>279</v>
      </c>
      <c r="C31" s="96"/>
      <c r="D31" s="96"/>
      <c r="E31" s="96" t="s">
        <v>37</v>
      </c>
      <c r="F31" s="96">
        <v>10</v>
      </c>
      <c r="G31" s="96">
        <v>12</v>
      </c>
      <c r="H31" s="96">
        <v>14</v>
      </c>
      <c r="I31" s="96">
        <v>16</v>
      </c>
      <c r="J31" s="96">
        <v>18</v>
      </c>
      <c r="K31" s="98"/>
      <c r="L31" s="499">
        <v>35</v>
      </c>
      <c r="M31" s="96"/>
      <c r="N31" s="96"/>
      <c r="O31" s="96"/>
      <c r="P31" s="96"/>
      <c r="Q31" s="96"/>
      <c r="S31" s="96" t="s">
        <v>161</v>
      </c>
      <c r="T31" s="404" t="s">
        <v>655</v>
      </c>
      <c r="U31" s="96">
        <v>5</v>
      </c>
    </row>
    <row r="32" spans="2:21" x14ac:dyDescent="0.3">
      <c r="B32" s="502"/>
      <c r="C32" s="96"/>
      <c r="D32" s="96"/>
      <c r="E32" s="96" t="s">
        <v>12</v>
      </c>
      <c r="F32" s="96">
        <v>16</v>
      </c>
      <c r="G32" s="96">
        <v>18</v>
      </c>
      <c r="H32" s="96">
        <v>20</v>
      </c>
      <c r="I32" s="96">
        <v>22</v>
      </c>
      <c r="J32" s="96">
        <v>24</v>
      </c>
      <c r="K32" s="98"/>
      <c r="L32" s="499"/>
      <c r="M32" s="96"/>
      <c r="N32" s="96"/>
      <c r="O32" s="96"/>
      <c r="P32" s="96">
        <v>10</v>
      </c>
      <c r="Q32" s="96">
        <v>15</v>
      </c>
      <c r="S32" s="105" t="s">
        <v>235</v>
      </c>
      <c r="T32" s="96" t="s">
        <v>279</v>
      </c>
      <c r="U32" s="96"/>
    </row>
    <row r="33" spans="2:21" x14ac:dyDescent="0.25">
      <c r="B33" s="521" t="s">
        <v>391</v>
      </c>
      <c r="C33" s="508"/>
      <c r="D33" s="508"/>
      <c r="E33" s="96" t="s">
        <v>37</v>
      </c>
      <c r="F33" s="96">
        <v>30</v>
      </c>
      <c r="G33" s="96">
        <v>35</v>
      </c>
      <c r="H33" s="96">
        <v>40</v>
      </c>
      <c r="I33" s="96">
        <v>45</v>
      </c>
      <c r="J33" s="96">
        <v>50</v>
      </c>
      <c r="K33" s="97"/>
      <c r="L33" s="52" t="s">
        <v>71</v>
      </c>
      <c r="M33" s="52" t="s">
        <v>71</v>
      </c>
      <c r="N33" s="517">
        <v>25</v>
      </c>
      <c r="O33" s="52" t="s">
        <v>71</v>
      </c>
      <c r="P33" s="52" t="s">
        <v>71</v>
      </c>
      <c r="Q33" s="7"/>
      <c r="S33" s="105" t="s">
        <v>235</v>
      </c>
      <c r="T33" s="96" t="s">
        <v>281</v>
      </c>
      <c r="U33" s="96">
        <v>3</v>
      </c>
    </row>
    <row r="34" spans="2:21" x14ac:dyDescent="0.25">
      <c r="B34" s="504"/>
      <c r="C34" s="508"/>
      <c r="D34" s="508"/>
      <c r="E34" s="96" t="s">
        <v>107</v>
      </c>
      <c r="F34" s="96">
        <v>30</v>
      </c>
      <c r="G34" s="96">
        <v>40</v>
      </c>
      <c r="H34" s="96">
        <v>50</v>
      </c>
      <c r="I34" s="96">
        <v>60</v>
      </c>
      <c r="J34" s="96">
        <v>70</v>
      </c>
      <c r="K34" s="97"/>
      <c r="L34" s="52" t="s">
        <v>71</v>
      </c>
      <c r="M34" s="52" t="s">
        <v>71</v>
      </c>
      <c r="N34" s="518"/>
      <c r="O34" s="52" t="s">
        <v>71</v>
      </c>
      <c r="P34" s="52" t="s">
        <v>71</v>
      </c>
      <c r="Q34" s="7"/>
      <c r="S34" s="48" t="s">
        <v>235</v>
      </c>
      <c r="T34" s="104" t="s">
        <v>282</v>
      </c>
      <c r="U34" s="96"/>
    </row>
    <row r="35" spans="2:21" x14ac:dyDescent="0.3">
      <c r="B35" s="522" t="s">
        <v>607</v>
      </c>
      <c r="C35" s="96"/>
      <c r="D35" s="96"/>
      <c r="E35" s="96" t="s">
        <v>37</v>
      </c>
      <c r="F35" s="96">
        <v>13</v>
      </c>
      <c r="G35" s="96">
        <v>16</v>
      </c>
      <c r="H35" s="96">
        <v>19</v>
      </c>
      <c r="I35" s="96">
        <v>22</v>
      </c>
      <c r="J35" s="96">
        <v>25</v>
      </c>
      <c r="K35" s="98"/>
      <c r="L35" s="378"/>
      <c r="M35" s="7"/>
      <c r="N35" s="517">
        <v>25</v>
      </c>
      <c r="O35" s="96">
        <v>3</v>
      </c>
      <c r="P35" s="7"/>
      <c r="Q35" s="7"/>
      <c r="S35" s="48" t="s">
        <v>235</v>
      </c>
      <c r="T35" s="104" t="s">
        <v>285</v>
      </c>
      <c r="U35" s="96">
        <v>2</v>
      </c>
    </row>
    <row r="36" spans="2:21" x14ac:dyDescent="0.3">
      <c r="B36" s="504"/>
      <c r="C36" s="96"/>
      <c r="D36" s="96"/>
      <c r="E36" s="96" t="s">
        <v>1</v>
      </c>
      <c r="F36" s="96">
        <v>9</v>
      </c>
      <c r="G36" s="96">
        <v>10.5</v>
      </c>
      <c r="H36" s="96">
        <v>12</v>
      </c>
      <c r="I36" s="96">
        <v>13.5</v>
      </c>
      <c r="J36" s="96">
        <v>15</v>
      </c>
      <c r="K36" s="98"/>
      <c r="L36" s="378"/>
      <c r="M36" s="7"/>
      <c r="N36" s="518"/>
      <c r="O36" s="96"/>
      <c r="P36" s="7"/>
      <c r="Q36" s="7"/>
      <c r="S36" s="48" t="s">
        <v>235</v>
      </c>
      <c r="T36" s="104" t="s">
        <v>287</v>
      </c>
      <c r="U36" s="96"/>
    </row>
    <row r="37" spans="2:21" x14ac:dyDescent="0.3">
      <c r="S37" s="48" t="s">
        <v>235</v>
      </c>
      <c r="T37" s="104" t="s">
        <v>289</v>
      </c>
      <c r="U37" s="96">
        <v>3</v>
      </c>
    </row>
    <row r="38" spans="2:21" x14ac:dyDescent="0.3">
      <c r="B38" s="523" t="s">
        <v>655</v>
      </c>
      <c r="C38" s="96"/>
      <c r="D38" s="96"/>
      <c r="E38" s="96" t="s">
        <v>37</v>
      </c>
      <c r="F38" s="96">
        <v>8</v>
      </c>
      <c r="G38" s="96">
        <v>9</v>
      </c>
      <c r="H38" s="96">
        <v>10</v>
      </c>
      <c r="I38" s="96">
        <v>11</v>
      </c>
      <c r="J38" s="96">
        <v>12</v>
      </c>
      <c r="K38" s="98"/>
      <c r="L38" s="499">
        <v>35</v>
      </c>
      <c r="M38" s="7"/>
      <c r="N38" s="7"/>
      <c r="O38" s="96">
        <v>5</v>
      </c>
      <c r="P38" s="96">
        <v>5</v>
      </c>
      <c r="Q38" s="7"/>
      <c r="S38" s="48" t="s">
        <v>235</v>
      </c>
      <c r="T38" s="104" t="s">
        <v>290</v>
      </c>
      <c r="U38" s="96"/>
    </row>
    <row r="39" spans="2:21" x14ac:dyDescent="0.3">
      <c r="B39" s="523"/>
      <c r="C39" s="96"/>
      <c r="D39" s="96"/>
      <c r="E39" s="96" t="s">
        <v>107</v>
      </c>
      <c r="F39" s="96">
        <v>9</v>
      </c>
      <c r="G39" s="96">
        <v>10.5</v>
      </c>
      <c r="H39" s="96">
        <v>12</v>
      </c>
      <c r="I39" s="96">
        <v>13.5</v>
      </c>
      <c r="J39" s="96">
        <v>15</v>
      </c>
      <c r="K39" s="98"/>
      <c r="L39" s="499"/>
      <c r="M39" s="7"/>
      <c r="N39" s="7"/>
      <c r="O39" s="96">
        <v>5</v>
      </c>
      <c r="P39" s="96">
        <v>5</v>
      </c>
      <c r="Q39" s="7"/>
      <c r="S39" s="48" t="s">
        <v>235</v>
      </c>
      <c r="T39" s="104" t="s">
        <v>292</v>
      </c>
      <c r="U39" s="96">
        <v>5</v>
      </c>
    </row>
    <row r="43" spans="2:21" x14ac:dyDescent="0.3">
      <c r="B43" s="100" t="s">
        <v>281</v>
      </c>
      <c r="C43" s="96"/>
      <c r="D43" s="96"/>
      <c r="E43" s="96" t="s">
        <v>115</v>
      </c>
      <c r="F43" s="96">
        <v>2</v>
      </c>
      <c r="G43" s="96">
        <v>2.25</v>
      </c>
      <c r="H43" s="96">
        <v>2.5</v>
      </c>
      <c r="I43" s="96">
        <v>2.75</v>
      </c>
      <c r="J43" s="96">
        <v>3</v>
      </c>
      <c r="K43" s="98"/>
      <c r="L43" s="96">
        <v>25</v>
      </c>
      <c r="M43" s="7"/>
      <c r="N43" s="7"/>
      <c r="O43" s="96">
        <v>3</v>
      </c>
      <c r="P43" s="97">
        <v>5</v>
      </c>
      <c r="Q43" s="7"/>
    </row>
    <row r="44" spans="2:21" x14ac:dyDescent="0.25">
      <c r="B44" s="103" t="s">
        <v>282</v>
      </c>
      <c r="C44" s="96"/>
      <c r="D44" s="96"/>
      <c r="E44" s="96" t="s">
        <v>12</v>
      </c>
      <c r="F44" s="96">
        <v>12</v>
      </c>
      <c r="G44" s="96">
        <v>14</v>
      </c>
      <c r="H44" s="96">
        <v>16</v>
      </c>
      <c r="I44" s="96">
        <v>18</v>
      </c>
      <c r="J44" s="96">
        <v>20</v>
      </c>
      <c r="K44" s="96"/>
      <c r="L44" s="96">
        <v>25</v>
      </c>
      <c r="M44" s="96"/>
      <c r="N44" s="96"/>
      <c r="O44" s="96"/>
      <c r="P44" s="96">
        <v>10</v>
      </c>
      <c r="Q44" s="96">
        <v>15</v>
      </c>
    </row>
    <row r="45" spans="2:21" x14ac:dyDescent="0.25">
      <c r="B45" s="103" t="s">
        <v>285</v>
      </c>
      <c r="C45" s="96"/>
      <c r="D45" s="96"/>
      <c r="E45" s="96" t="s">
        <v>286</v>
      </c>
      <c r="F45" s="96">
        <v>30</v>
      </c>
      <c r="G45" s="96">
        <v>35</v>
      </c>
      <c r="H45" s="96">
        <v>40</v>
      </c>
      <c r="I45" s="96">
        <v>45</v>
      </c>
      <c r="J45" s="96">
        <v>50</v>
      </c>
      <c r="K45" s="96"/>
      <c r="L45" s="96">
        <v>25</v>
      </c>
      <c r="M45" s="96"/>
      <c r="N45" s="96"/>
      <c r="O45" s="96">
        <v>2</v>
      </c>
      <c r="P45" s="96"/>
      <c r="Q45" s="96"/>
    </row>
    <row r="46" spans="2:21" x14ac:dyDescent="0.25">
      <c r="B46" s="103" t="s">
        <v>287</v>
      </c>
      <c r="C46" s="96"/>
      <c r="D46" s="96"/>
      <c r="E46" s="96" t="s">
        <v>288</v>
      </c>
      <c r="F46" s="96">
        <v>40</v>
      </c>
      <c r="G46" s="96">
        <v>50</v>
      </c>
      <c r="H46" s="96">
        <v>60</v>
      </c>
      <c r="I46" s="96">
        <v>70</v>
      </c>
      <c r="J46" s="96">
        <v>80</v>
      </c>
      <c r="K46" s="96"/>
      <c r="L46" s="96">
        <v>25</v>
      </c>
      <c r="M46" s="96"/>
      <c r="N46" s="96"/>
      <c r="O46" s="96"/>
      <c r="P46" s="96"/>
      <c r="Q46" s="96"/>
    </row>
    <row r="47" spans="2:21" x14ac:dyDescent="0.25">
      <c r="B47" s="103" t="s">
        <v>289</v>
      </c>
      <c r="C47" s="96"/>
      <c r="D47" s="96"/>
      <c r="E47" s="96" t="s">
        <v>37</v>
      </c>
      <c r="F47" s="96">
        <v>8</v>
      </c>
      <c r="G47" s="96">
        <v>9</v>
      </c>
      <c r="H47" s="96">
        <v>10</v>
      </c>
      <c r="I47" s="96">
        <v>11</v>
      </c>
      <c r="J47" s="96">
        <v>12</v>
      </c>
      <c r="K47" s="96"/>
      <c r="L47" s="96">
        <v>25</v>
      </c>
      <c r="M47" s="96"/>
      <c r="N47" s="96"/>
      <c r="O47" s="96">
        <v>3</v>
      </c>
      <c r="P47" s="96"/>
      <c r="Q47" s="96"/>
    </row>
    <row r="48" spans="2:21" x14ac:dyDescent="0.25">
      <c r="B48" s="519" t="s">
        <v>291</v>
      </c>
      <c r="C48" s="96"/>
      <c r="D48" s="96"/>
      <c r="E48" s="96" t="s">
        <v>120</v>
      </c>
      <c r="F48" s="96">
        <v>12</v>
      </c>
      <c r="G48" s="96">
        <v>14</v>
      </c>
      <c r="H48" s="96">
        <v>16</v>
      </c>
      <c r="I48" s="96">
        <v>18</v>
      </c>
      <c r="J48" s="96">
        <v>20</v>
      </c>
      <c r="K48" s="96"/>
      <c r="L48" s="96"/>
      <c r="M48" s="517">
        <v>25</v>
      </c>
      <c r="N48" s="157"/>
      <c r="O48" s="96"/>
      <c r="P48" s="96"/>
      <c r="Q48" s="96"/>
    </row>
    <row r="49" spans="2:21" x14ac:dyDescent="0.25">
      <c r="B49" s="520"/>
      <c r="C49" s="96"/>
      <c r="D49" s="96"/>
      <c r="E49" s="96" t="s">
        <v>51</v>
      </c>
      <c r="F49" s="96">
        <v>12</v>
      </c>
      <c r="G49" s="96">
        <v>14</v>
      </c>
      <c r="H49" s="96">
        <v>16</v>
      </c>
      <c r="I49" s="96">
        <v>18</v>
      </c>
      <c r="J49" s="96">
        <v>20</v>
      </c>
      <c r="K49" s="96"/>
      <c r="L49" s="96"/>
      <c r="M49" s="518"/>
      <c r="N49" s="158"/>
      <c r="O49" s="96"/>
      <c r="P49" s="96"/>
      <c r="Q49" s="96"/>
    </row>
    <row r="50" spans="2:21" x14ac:dyDescent="0.25">
      <c r="B50" s="103" t="s">
        <v>293</v>
      </c>
      <c r="C50" s="96"/>
      <c r="D50" s="96"/>
      <c r="E50" s="96" t="s">
        <v>12</v>
      </c>
      <c r="F50" s="96">
        <v>3.6</v>
      </c>
      <c r="G50" s="96">
        <v>4.2</v>
      </c>
      <c r="H50" s="96">
        <v>4.8</v>
      </c>
      <c r="I50" s="96">
        <v>5.4</v>
      </c>
      <c r="J50" s="96">
        <v>6</v>
      </c>
      <c r="K50" s="96"/>
      <c r="L50" s="96">
        <v>25</v>
      </c>
      <c r="M50" s="96"/>
      <c r="N50" s="96"/>
      <c r="O50" s="96">
        <v>5</v>
      </c>
      <c r="P50" s="96"/>
      <c r="Q50" s="96"/>
    </row>
    <row r="52" spans="2:21" x14ac:dyDescent="0.3">
      <c r="S52" s="96" t="s">
        <v>162</v>
      </c>
      <c r="T52" s="96" t="s">
        <v>63</v>
      </c>
      <c r="U52" s="96"/>
    </row>
    <row r="53" spans="2:21" x14ac:dyDescent="0.3">
      <c r="S53" s="96" t="s">
        <v>162</v>
      </c>
      <c r="T53" s="96" t="s">
        <v>57</v>
      </c>
      <c r="U53" s="96"/>
    </row>
    <row r="54" spans="2:21" x14ac:dyDescent="0.3">
      <c r="S54" s="96" t="s">
        <v>162</v>
      </c>
      <c r="T54" s="96" t="s">
        <v>607</v>
      </c>
      <c r="U54" s="96">
        <v>3</v>
      </c>
    </row>
    <row r="55" spans="2:21" x14ac:dyDescent="0.3">
      <c r="S55" s="105" t="s">
        <v>235</v>
      </c>
      <c r="T55" s="96" t="s">
        <v>279</v>
      </c>
      <c r="U55" s="96"/>
    </row>
    <row r="56" spans="2:21" x14ac:dyDescent="0.3">
      <c r="S56" s="105" t="s">
        <v>235</v>
      </c>
      <c r="T56" s="96" t="s">
        <v>281</v>
      </c>
      <c r="U56" s="96">
        <v>3</v>
      </c>
    </row>
    <row r="57" spans="2:21" x14ac:dyDescent="0.3">
      <c r="S57" s="48" t="s">
        <v>235</v>
      </c>
      <c r="T57" s="104" t="s">
        <v>282</v>
      </c>
      <c r="U57" s="96"/>
    </row>
    <row r="58" spans="2:21" x14ac:dyDescent="0.3">
      <c r="S58" s="48" t="s">
        <v>235</v>
      </c>
      <c r="T58" s="104" t="s">
        <v>285</v>
      </c>
      <c r="U58" s="96">
        <v>2</v>
      </c>
    </row>
    <row r="59" spans="2:21" x14ac:dyDescent="0.3">
      <c r="S59" s="48" t="s">
        <v>235</v>
      </c>
      <c r="T59" s="104" t="s">
        <v>287</v>
      </c>
      <c r="U59" s="96"/>
    </row>
    <row r="60" spans="2:21" x14ac:dyDescent="0.3">
      <c r="S60" s="48" t="s">
        <v>235</v>
      </c>
      <c r="T60" s="104" t="s">
        <v>289</v>
      </c>
      <c r="U60" s="96">
        <v>3</v>
      </c>
    </row>
    <row r="61" spans="2:21" x14ac:dyDescent="0.3">
      <c r="S61" s="48" t="s">
        <v>235</v>
      </c>
      <c r="T61" s="104" t="s">
        <v>290</v>
      </c>
      <c r="U61" s="96"/>
    </row>
    <row r="62" spans="2:21" x14ac:dyDescent="0.3">
      <c r="S62" s="48" t="s">
        <v>235</v>
      </c>
      <c r="T62" s="104" t="s">
        <v>292</v>
      </c>
      <c r="U62" s="96">
        <v>5</v>
      </c>
    </row>
    <row r="63" spans="2:21" x14ac:dyDescent="0.3">
      <c r="T63" s="11"/>
    </row>
    <row r="64" spans="2:21" x14ac:dyDescent="0.3">
      <c r="S64" s="96" t="s">
        <v>159</v>
      </c>
      <c r="T64" s="96" t="s">
        <v>60</v>
      </c>
      <c r="U64" s="96"/>
    </row>
    <row r="65" spans="5:21" x14ac:dyDescent="0.3">
      <c r="S65" s="96" t="s">
        <v>159</v>
      </c>
      <c r="T65" s="96" t="s">
        <v>61</v>
      </c>
      <c r="U65" s="96"/>
    </row>
    <row r="66" spans="5:21" x14ac:dyDescent="0.3">
      <c r="S66" s="96" t="s">
        <v>159</v>
      </c>
      <c r="T66" s="96" t="s">
        <v>13</v>
      </c>
      <c r="U66" s="96">
        <v>4</v>
      </c>
    </row>
    <row r="67" spans="5:21" x14ac:dyDescent="0.3">
      <c r="S67" s="96" t="s">
        <v>159</v>
      </c>
      <c r="T67" s="235" t="s">
        <v>391</v>
      </c>
      <c r="U67" s="7"/>
    </row>
    <row r="68" spans="5:21" x14ac:dyDescent="0.3">
      <c r="S68" s="105" t="s">
        <v>235</v>
      </c>
      <c r="T68" s="96" t="s">
        <v>279</v>
      </c>
      <c r="U68" s="96"/>
    </row>
    <row r="69" spans="5:21" x14ac:dyDescent="0.3">
      <c r="S69" s="105" t="s">
        <v>235</v>
      </c>
      <c r="T69" s="96" t="s">
        <v>281</v>
      </c>
      <c r="U69" s="96">
        <v>3</v>
      </c>
    </row>
    <row r="70" spans="5:21" x14ac:dyDescent="0.3">
      <c r="S70" s="48" t="s">
        <v>235</v>
      </c>
      <c r="T70" s="104" t="s">
        <v>282</v>
      </c>
      <c r="U70" s="96"/>
    </row>
    <row r="71" spans="5:21" x14ac:dyDescent="0.3">
      <c r="S71" s="48" t="s">
        <v>235</v>
      </c>
      <c r="T71" s="104" t="s">
        <v>285</v>
      </c>
      <c r="U71" s="96">
        <v>2</v>
      </c>
    </row>
    <row r="72" spans="5:21" x14ac:dyDescent="0.3">
      <c r="S72" s="48" t="s">
        <v>235</v>
      </c>
      <c r="T72" s="104" t="s">
        <v>287</v>
      </c>
      <c r="U72" s="96"/>
    </row>
    <row r="73" spans="5:21" x14ac:dyDescent="0.3">
      <c r="E73" s="13" t="s">
        <v>280</v>
      </c>
      <c r="S73" s="48" t="s">
        <v>235</v>
      </c>
      <c r="T73" s="104" t="s">
        <v>289</v>
      </c>
      <c r="U73" s="96">
        <v>3</v>
      </c>
    </row>
    <row r="74" spans="5:21" x14ac:dyDescent="0.3">
      <c r="E74" s="11">
        <v>4.78</v>
      </c>
      <c r="S74" s="48" t="s">
        <v>235</v>
      </c>
      <c r="T74" s="104" t="s">
        <v>290</v>
      </c>
      <c r="U74" s="96"/>
    </row>
    <row r="75" spans="5:21" x14ac:dyDescent="0.3">
      <c r="S75" s="48" t="s">
        <v>235</v>
      </c>
      <c r="T75" s="104" t="s">
        <v>292</v>
      </c>
      <c r="U75" s="96">
        <v>5</v>
      </c>
    </row>
    <row r="76" spans="5:21" x14ac:dyDescent="0.3">
      <c r="E76" s="11">
        <v>4.2</v>
      </c>
    </row>
  </sheetData>
  <mergeCells count="60">
    <mergeCell ref="N33:N34"/>
    <mergeCell ref="B48:B49"/>
    <mergeCell ref="M48:M49"/>
    <mergeCell ref="B28:B30"/>
    <mergeCell ref="L28:L30"/>
    <mergeCell ref="B31:B32"/>
    <mergeCell ref="L31:L32"/>
    <mergeCell ref="B33:B34"/>
    <mergeCell ref="C33:C34"/>
    <mergeCell ref="D33:D34"/>
    <mergeCell ref="B35:B36"/>
    <mergeCell ref="N35:N36"/>
    <mergeCell ref="B38:B39"/>
    <mergeCell ref="L38:L39"/>
    <mergeCell ref="O2:Q2"/>
    <mergeCell ref="M5:M6"/>
    <mergeCell ref="E2:E3"/>
    <mergeCell ref="C2:D3"/>
    <mergeCell ref="L2:N2"/>
    <mergeCell ref="C23:C24"/>
    <mergeCell ref="D23:D24"/>
    <mergeCell ref="C20:C21"/>
    <mergeCell ref="D20:D21"/>
    <mergeCell ref="C18:C19"/>
    <mergeCell ref="D18:D19"/>
    <mergeCell ref="C16:C17"/>
    <mergeCell ref="D16:D17"/>
    <mergeCell ref="C14:C15"/>
    <mergeCell ref="D14:D15"/>
    <mergeCell ref="C12:C13"/>
    <mergeCell ref="D12:D13"/>
    <mergeCell ref="B7:B8"/>
    <mergeCell ref="L7:L8"/>
    <mergeCell ref="B10:B11"/>
    <mergeCell ref="L10:L11"/>
    <mergeCell ref="F2:J2"/>
    <mergeCell ref="B2:B3"/>
    <mergeCell ref="B5:B6"/>
    <mergeCell ref="C10:C11"/>
    <mergeCell ref="D10:D11"/>
    <mergeCell ref="C7:C8"/>
    <mergeCell ref="D7:D8"/>
    <mergeCell ref="C5:C6"/>
    <mergeCell ref="D5:D6"/>
    <mergeCell ref="S3:T3"/>
    <mergeCell ref="P25:P27"/>
    <mergeCell ref="B18:B19"/>
    <mergeCell ref="B20:B21"/>
    <mergeCell ref="B23:B24"/>
    <mergeCell ref="M23:M24"/>
    <mergeCell ref="B25:B27"/>
    <mergeCell ref="L25:L27"/>
    <mergeCell ref="C25:C27"/>
    <mergeCell ref="D25:D27"/>
    <mergeCell ref="B12:B13"/>
    <mergeCell ref="L14:L15"/>
    <mergeCell ref="B14:B15"/>
    <mergeCell ref="B16:B17"/>
    <mergeCell ref="L16:L17"/>
    <mergeCell ref="L12:L13"/>
  </mergeCells>
  <phoneticPr fontId="1" type="noConversion"/>
  <pageMargins left="0.7" right="0.7" top="0.75" bottom="0.75" header="0.3" footer="0.3"/>
  <legacy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DFA1E6-8374-47FC-B361-F0AE14DD4276}">
  <sheetPr codeName="工作表4"/>
  <dimension ref="B2:Y44"/>
  <sheetViews>
    <sheetView topLeftCell="A13" zoomScale="85" zoomScaleNormal="85" workbookViewId="0">
      <selection activeCell="X33" sqref="X33"/>
    </sheetView>
  </sheetViews>
  <sheetFormatPr defaultRowHeight="16.5" x14ac:dyDescent="0.25"/>
  <cols>
    <col min="2" max="2" width="9.140625" style="1" customWidth="1"/>
    <col min="3" max="3" width="14.28515625" style="12" customWidth="1"/>
    <col min="4" max="18" width="8.42578125" style="12" customWidth="1"/>
    <col min="19" max="19" width="15.5703125" customWidth="1"/>
    <col min="20" max="20" width="36.28515625" customWidth="1"/>
    <col min="23" max="23" width="15.5703125" customWidth="1"/>
    <col min="25" max="25" width="10.140625" customWidth="1"/>
  </cols>
  <sheetData>
    <row r="2" spans="3:25" x14ac:dyDescent="0.25">
      <c r="D2" s="533" t="s">
        <v>99</v>
      </c>
      <c r="E2" s="533"/>
      <c r="F2" s="533"/>
      <c r="G2" s="533"/>
      <c r="H2" s="533"/>
      <c r="I2" s="533" t="s">
        <v>100</v>
      </c>
      <c r="J2" s="533"/>
      <c r="K2" s="533"/>
      <c r="L2" s="533"/>
      <c r="M2" s="533"/>
      <c r="N2" s="533" t="s">
        <v>101</v>
      </c>
      <c r="O2" s="533"/>
      <c r="P2" s="533"/>
      <c r="Q2" s="533"/>
      <c r="R2" s="533"/>
    </row>
    <row r="3" spans="3:25" x14ac:dyDescent="0.25">
      <c r="D3" s="12">
        <v>50</v>
      </c>
      <c r="E3" s="12">
        <v>52</v>
      </c>
      <c r="F3" s="12">
        <v>54</v>
      </c>
      <c r="G3" s="12">
        <v>57</v>
      </c>
      <c r="H3" s="12">
        <v>60</v>
      </c>
      <c r="I3" s="12">
        <v>50</v>
      </c>
      <c r="J3" s="12">
        <v>52</v>
      </c>
      <c r="K3" s="12">
        <v>54</v>
      </c>
      <c r="L3" s="12">
        <v>57</v>
      </c>
      <c r="M3" s="12">
        <v>60</v>
      </c>
      <c r="N3" s="12">
        <v>50</v>
      </c>
      <c r="O3" s="12">
        <v>52</v>
      </c>
      <c r="P3" s="12">
        <v>54</v>
      </c>
      <c r="Q3" s="12">
        <v>57</v>
      </c>
      <c r="R3" s="12">
        <v>60</v>
      </c>
    </row>
    <row r="4" spans="3:25" x14ac:dyDescent="0.25">
      <c r="D4" s="12">
        <v>27.3</v>
      </c>
      <c r="E4" s="12">
        <v>28.08</v>
      </c>
      <c r="F4" s="12">
        <v>28.86</v>
      </c>
      <c r="G4" s="12">
        <v>30.03</v>
      </c>
      <c r="H4" s="12">
        <v>31.2</v>
      </c>
      <c r="I4" s="12">
        <v>45.5</v>
      </c>
      <c r="J4" s="71">
        <v>46.8</v>
      </c>
      <c r="K4" s="71">
        <v>48.1</v>
      </c>
      <c r="L4" s="71">
        <v>50.05</v>
      </c>
      <c r="M4" s="71">
        <v>52</v>
      </c>
      <c r="N4" s="12">
        <v>45.5</v>
      </c>
      <c r="O4" s="71">
        <v>46.8</v>
      </c>
      <c r="P4" s="71">
        <v>48.1</v>
      </c>
      <c r="Q4" s="71">
        <v>50.05</v>
      </c>
      <c r="R4" s="71">
        <v>52</v>
      </c>
    </row>
    <row r="5" spans="3:25" ht="17.25" thickBot="1" x14ac:dyDescent="0.3"/>
    <row r="6" spans="3:25" x14ac:dyDescent="0.25">
      <c r="C6" s="539" t="s">
        <v>147</v>
      </c>
      <c r="D6" s="527" t="s">
        <v>96</v>
      </c>
      <c r="E6" s="528"/>
      <c r="F6" s="528"/>
      <c r="G6" s="528"/>
      <c r="H6" s="529"/>
      <c r="I6" s="527" t="s">
        <v>97</v>
      </c>
      <c r="J6" s="528"/>
      <c r="K6" s="528"/>
      <c r="L6" s="528"/>
      <c r="M6" s="529"/>
      <c r="N6" s="528" t="s">
        <v>98</v>
      </c>
      <c r="O6" s="528"/>
      <c r="P6" s="528"/>
      <c r="Q6" s="528"/>
      <c r="R6" s="529"/>
      <c r="S6" s="530" t="s">
        <v>260</v>
      </c>
      <c r="T6" s="531"/>
      <c r="U6" s="15"/>
      <c r="V6" s="39"/>
      <c r="W6" s="37" t="s">
        <v>136</v>
      </c>
      <c r="X6" s="82" t="s">
        <v>236</v>
      </c>
    </row>
    <row r="7" spans="3:25" x14ac:dyDescent="0.25">
      <c r="C7" s="540"/>
      <c r="D7" s="537" t="s">
        <v>9</v>
      </c>
      <c r="E7" s="533"/>
      <c r="F7" s="533"/>
      <c r="G7" s="533"/>
      <c r="H7" s="534"/>
      <c r="I7" s="537" t="s">
        <v>37</v>
      </c>
      <c r="J7" s="533"/>
      <c r="K7" s="533"/>
      <c r="L7" s="533"/>
      <c r="M7" s="534"/>
      <c r="N7" s="533" t="s">
        <v>37</v>
      </c>
      <c r="O7" s="533"/>
      <c r="P7" s="533"/>
      <c r="Q7" s="533"/>
      <c r="R7" s="534"/>
      <c r="S7" s="12" t="s">
        <v>37</v>
      </c>
      <c r="T7" s="18" t="s">
        <v>9</v>
      </c>
      <c r="U7" s="15"/>
      <c r="V7" s="39"/>
      <c r="W7" s="59" t="s">
        <v>247</v>
      </c>
      <c r="X7" s="37" t="s">
        <v>141</v>
      </c>
      <c r="Y7" s="37"/>
    </row>
    <row r="8" spans="3:25" ht="17.25" thickBot="1" x14ac:dyDescent="0.3">
      <c r="C8" s="541"/>
      <c r="D8" s="17">
        <v>80</v>
      </c>
      <c r="E8" s="12">
        <v>90</v>
      </c>
      <c r="F8" s="12">
        <v>100</v>
      </c>
      <c r="G8" s="12">
        <v>110</v>
      </c>
      <c r="H8" s="18">
        <v>120</v>
      </c>
      <c r="I8" s="17">
        <v>15</v>
      </c>
      <c r="J8" s="31">
        <v>16.87</v>
      </c>
      <c r="K8" s="12">
        <v>18.75</v>
      </c>
      <c r="L8" s="31">
        <v>20.62</v>
      </c>
      <c r="M8" s="35">
        <v>22.5</v>
      </c>
      <c r="N8" s="12">
        <v>15</v>
      </c>
      <c r="O8" s="31">
        <v>16.87</v>
      </c>
      <c r="P8" s="12">
        <v>18.75</v>
      </c>
      <c r="Q8" s="31">
        <v>20.62</v>
      </c>
      <c r="R8" s="35">
        <v>22.5</v>
      </c>
      <c r="S8" s="32">
        <v>20</v>
      </c>
      <c r="T8" s="22">
        <v>50</v>
      </c>
      <c r="U8" s="15"/>
      <c r="V8" s="39"/>
      <c r="W8" s="37" t="s">
        <v>84</v>
      </c>
      <c r="X8" s="37" t="s">
        <v>139</v>
      </c>
    </row>
    <row r="9" spans="3:25" x14ac:dyDescent="0.25">
      <c r="C9" s="545" t="s">
        <v>89</v>
      </c>
      <c r="D9" s="527" t="s">
        <v>81</v>
      </c>
      <c r="E9" s="528"/>
      <c r="F9" s="528"/>
      <c r="G9" s="528"/>
      <c r="H9" s="529"/>
      <c r="I9" s="527" t="s">
        <v>82</v>
      </c>
      <c r="J9" s="528"/>
      <c r="K9" s="528"/>
      <c r="L9" s="528"/>
      <c r="M9" s="529"/>
      <c r="N9" s="528" t="s">
        <v>83</v>
      </c>
      <c r="O9" s="528"/>
      <c r="P9" s="528"/>
      <c r="Q9" s="528"/>
      <c r="R9" s="529"/>
      <c r="S9" s="530" t="s">
        <v>260</v>
      </c>
      <c r="T9" s="531"/>
      <c r="U9" s="15"/>
      <c r="V9" s="39"/>
      <c r="W9" s="37" t="s">
        <v>85</v>
      </c>
      <c r="X9" s="37" t="s">
        <v>142</v>
      </c>
    </row>
    <row r="10" spans="3:25" x14ac:dyDescent="0.25">
      <c r="C10" s="543"/>
      <c r="D10" s="537" t="s">
        <v>12</v>
      </c>
      <c r="E10" s="533"/>
      <c r="F10" s="533"/>
      <c r="G10" s="533"/>
      <c r="H10" s="534"/>
      <c r="I10" s="537" t="s">
        <v>95</v>
      </c>
      <c r="J10" s="533"/>
      <c r="K10" s="533"/>
      <c r="L10" s="533"/>
      <c r="M10" s="534"/>
      <c r="N10" s="538" t="s">
        <v>386</v>
      </c>
      <c r="O10" s="533"/>
      <c r="P10" s="533"/>
      <c r="Q10" s="533"/>
      <c r="R10" s="534"/>
      <c r="S10" s="12" t="s">
        <v>37</v>
      </c>
      <c r="T10" s="74" t="s">
        <v>259</v>
      </c>
      <c r="U10" s="15"/>
      <c r="V10" s="39"/>
      <c r="W10" s="37" t="s">
        <v>86</v>
      </c>
      <c r="X10" s="37" t="s">
        <v>143</v>
      </c>
    </row>
    <row r="11" spans="3:25" ht="17.25" thickBot="1" x14ac:dyDescent="0.3">
      <c r="C11" s="544"/>
      <c r="D11" s="19">
        <v>20</v>
      </c>
      <c r="E11" s="20">
        <v>22.5</v>
      </c>
      <c r="F11" s="20">
        <v>25</v>
      </c>
      <c r="G11" s="20">
        <v>27.5</v>
      </c>
      <c r="H11" s="36">
        <v>30</v>
      </c>
      <c r="I11" s="19">
        <v>10</v>
      </c>
      <c r="J11" s="34">
        <v>11.25</v>
      </c>
      <c r="K11" s="20">
        <v>12.5</v>
      </c>
      <c r="L11" s="20">
        <v>13.75</v>
      </c>
      <c r="M11" s="36">
        <v>15</v>
      </c>
      <c r="N11" s="20">
        <v>64</v>
      </c>
      <c r="O11" s="20">
        <v>72</v>
      </c>
      <c r="P11" s="20">
        <v>80</v>
      </c>
      <c r="Q11" s="20">
        <v>88</v>
      </c>
      <c r="R11" s="36">
        <v>96</v>
      </c>
      <c r="S11" s="23">
        <v>20</v>
      </c>
      <c r="T11" s="21"/>
      <c r="U11" s="15"/>
      <c r="V11" s="39"/>
      <c r="W11" s="37" t="s">
        <v>87</v>
      </c>
      <c r="X11" s="37" t="s">
        <v>140</v>
      </c>
    </row>
    <row r="12" spans="3:25" x14ac:dyDescent="0.25">
      <c r="C12" s="545" t="s">
        <v>90</v>
      </c>
      <c r="D12" s="527" t="s">
        <v>81</v>
      </c>
      <c r="E12" s="528"/>
      <c r="F12" s="528"/>
      <c r="G12" s="528"/>
      <c r="H12" s="529"/>
      <c r="I12" s="527" t="s">
        <v>82</v>
      </c>
      <c r="J12" s="528"/>
      <c r="K12" s="528"/>
      <c r="L12" s="528"/>
      <c r="M12" s="529"/>
      <c r="N12" s="528" t="s">
        <v>83</v>
      </c>
      <c r="O12" s="528"/>
      <c r="P12" s="528"/>
      <c r="Q12" s="528"/>
      <c r="R12" s="529"/>
      <c r="S12" s="530" t="s">
        <v>260</v>
      </c>
      <c r="T12" s="531"/>
      <c r="U12" s="15"/>
      <c r="V12" s="39"/>
      <c r="W12" s="37" t="s">
        <v>88</v>
      </c>
      <c r="X12" s="37" t="s">
        <v>138</v>
      </c>
    </row>
    <row r="13" spans="3:25" x14ac:dyDescent="0.25">
      <c r="C13" s="543"/>
      <c r="D13" s="537" t="s">
        <v>12</v>
      </c>
      <c r="E13" s="533"/>
      <c r="F13" s="533"/>
      <c r="G13" s="533"/>
      <c r="H13" s="534"/>
      <c r="I13" s="536" t="s">
        <v>65</v>
      </c>
      <c r="J13" s="533"/>
      <c r="K13" s="533"/>
      <c r="L13" s="533"/>
      <c r="M13" s="534"/>
      <c r="N13" s="549" t="s">
        <v>113</v>
      </c>
      <c r="O13" s="533"/>
      <c r="P13" s="533"/>
      <c r="Q13" s="533"/>
      <c r="R13" s="534"/>
      <c r="S13" s="16" t="s">
        <v>111</v>
      </c>
      <c r="T13" s="74" t="s">
        <v>261</v>
      </c>
      <c r="U13" s="15"/>
      <c r="V13" s="39"/>
      <c r="W13" s="37" t="s">
        <v>89</v>
      </c>
      <c r="X13" s="37" t="s">
        <v>235</v>
      </c>
    </row>
    <row r="14" spans="3:25" ht="17.25" thickBot="1" x14ac:dyDescent="0.35">
      <c r="C14" s="544"/>
      <c r="D14" s="19">
        <v>20</v>
      </c>
      <c r="E14" s="20">
        <v>22.5</v>
      </c>
      <c r="F14" s="20">
        <v>25</v>
      </c>
      <c r="G14" s="20">
        <v>27.5</v>
      </c>
      <c r="H14" s="36">
        <v>30</v>
      </c>
      <c r="I14" s="19">
        <v>20</v>
      </c>
      <c r="J14" s="20">
        <v>22.5</v>
      </c>
      <c r="K14" s="20">
        <v>25</v>
      </c>
      <c r="L14" s="20">
        <v>27.5</v>
      </c>
      <c r="M14" s="36">
        <v>30</v>
      </c>
      <c r="N14" s="20">
        <v>20</v>
      </c>
      <c r="O14" s="20">
        <v>22.5</v>
      </c>
      <c r="P14" s="20">
        <v>25</v>
      </c>
      <c r="Q14" s="20">
        <v>27.5</v>
      </c>
      <c r="R14" s="36">
        <v>30</v>
      </c>
      <c r="S14" s="23">
        <v>20</v>
      </c>
      <c r="T14" s="21"/>
      <c r="U14" s="15"/>
      <c r="V14" s="39"/>
      <c r="W14" s="37" t="s">
        <v>90</v>
      </c>
      <c r="X14" s="37" t="s">
        <v>235</v>
      </c>
      <c r="Y14" s="40"/>
    </row>
    <row r="15" spans="3:25" x14ac:dyDescent="0.3">
      <c r="C15" s="545" t="s">
        <v>91</v>
      </c>
      <c r="D15" s="527" t="s">
        <v>81</v>
      </c>
      <c r="E15" s="528"/>
      <c r="F15" s="528"/>
      <c r="G15" s="528"/>
      <c r="H15" s="529"/>
      <c r="I15" s="527" t="s">
        <v>82</v>
      </c>
      <c r="J15" s="528"/>
      <c r="K15" s="528"/>
      <c r="L15" s="528"/>
      <c r="M15" s="529"/>
      <c r="N15" s="528" t="s">
        <v>83</v>
      </c>
      <c r="O15" s="528"/>
      <c r="P15" s="528"/>
      <c r="Q15" s="528"/>
      <c r="R15" s="529"/>
      <c r="S15" s="530" t="s">
        <v>260</v>
      </c>
      <c r="T15" s="531"/>
      <c r="U15" s="15"/>
      <c r="V15" s="39"/>
      <c r="W15" s="37" t="s">
        <v>91</v>
      </c>
      <c r="X15" s="37" t="s">
        <v>235</v>
      </c>
      <c r="Y15" s="40"/>
    </row>
    <row r="16" spans="3:25" x14ac:dyDescent="0.3">
      <c r="C16" s="543"/>
      <c r="D16" s="536" t="s">
        <v>65</v>
      </c>
      <c r="E16" s="533"/>
      <c r="F16" s="533"/>
      <c r="G16" s="533"/>
      <c r="H16" s="534"/>
      <c r="I16" s="536" t="s">
        <v>113</v>
      </c>
      <c r="J16" s="533"/>
      <c r="K16" s="533"/>
      <c r="L16" s="533"/>
      <c r="M16" s="534"/>
      <c r="N16" s="549" t="s">
        <v>114</v>
      </c>
      <c r="O16" s="533"/>
      <c r="P16" s="533"/>
      <c r="Q16" s="533"/>
      <c r="R16" s="534"/>
      <c r="S16" s="16" t="s">
        <v>78</v>
      </c>
      <c r="T16" s="396" t="s">
        <v>639</v>
      </c>
      <c r="U16" s="15"/>
      <c r="V16" s="39"/>
      <c r="W16" s="37" t="s">
        <v>92</v>
      </c>
      <c r="X16" s="37" t="s">
        <v>235</v>
      </c>
      <c r="Y16" s="40"/>
    </row>
    <row r="17" spans="3:25" ht="17.25" thickBot="1" x14ac:dyDescent="0.35">
      <c r="C17" s="544"/>
      <c r="D17" s="19">
        <v>20</v>
      </c>
      <c r="E17" s="20">
        <v>22.5</v>
      </c>
      <c r="F17" s="20">
        <v>25</v>
      </c>
      <c r="G17" s="20">
        <v>27.5</v>
      </c>
      <c r="H17" s="36">
        <v>30</v>
      </c>
      <c r="I17" s="19">
        <v>20</v>
      </c>
      <c r="J17" s="20">
        <v>22.5</v>
      </c>
      <c r="K17" s="20">
        <v>25</v>
      </c>
      <c r="L17" s="20">
        <v>27.5</v>
      </c>
      <c r="M17" s="36">
        <v>30</v>
      </c>
      <c r="N17" s="20">
        <v>8</v>
      </c>
      <c r="O17" s="20">
        <v>9</v>
      </c>
      <c r="P17" s="20">
        <v>10</v>
      </c>
      <c r="Q17" s="20">
        <v>11</v>
      </c>
      <c r="R17" s="36">
        <v>12</v>
      </c>
      <c r="S17" s="23">
        <v>20</v>
      </c>
      <c r="T17" s="24"/>
      <c r="U17" s="15"/>
      <c r="V17" s="39"/>
      <c r="W17" s="84" t="s">
        <v>93</v>
      </c>
      <c r="X17" s="37" t="s">
        <v>235</v>
      </c>
      <c r="Y17" s="40"/>
    </row>
    <row r="18" spans="3:25" x14ac:dyDescent="0.3">
      <c r="C18" s="545" t="s">
        <v>92</v>
      </c>
      <c r="D18" s="527" t="s">
        <v>81</v>
      </c>
      <c r="E18" s="528"/>
      <c r="F18" s="528"/>
      <c r="G18" s="528"/>
      <c r="H18" s="529"/>
      <c r="I18" s="527" t="s">
        <v>82</v>
      </c>
      <c r="J18" s="528"/>
      <c r="K18" s="528"/>
      <c r="L18" s="528"/>
      <c r="M18" s="529"/>
      <c r="N18" s="528" t="s">
        <v>83</v>
      </c>
      <c r="O18" s="528"/>
      <c r="P18" s="528"/>
      <c r="Q18" s="528"/>
      <c r="R18" s="529"/>
      <c r="S18" s="530" t="s">
        <v>260</v>
      </c>
      <c r="T18" s="531"/>
      <c r="U18" s="15"/>
      <c r="V18" s="39"/>
      <c r="W18" s="37" t="s">
        <v>94</v>
      </c>
      <c r="X18" s="37" t="s">
        <v>235</v>
      </c>
      <c r="Y18" s="40"/>
    </row>
    <row r="19" spans="3:25" x14ac:dyDescent="0.3">
      <c r="C19" s="543"/>
      <c r="D19" s="536" t="s">
        <v>110</v>
      </c>
      <c r="E19" s="533"/>
      <c r="F19" s="533"/>
      <c r="G19" s="533"/>
      <c r="H19" s="534"/>
      <c r="I19" s="537" t="s">
        <v>12</v>
      </c>
      <c r="J19" s="533"/>
      <c r="K19" s="533"/>
      <c r="L19" s="533"/>
      <c r="M19" s="534"/>
      <c r="N19" s="549" t="s">
        <v>65</v>
      </c>
      <c r="O19" s="533"/>
      <c r="P19" s="533"/>
      <c r="Q19" s="533"/>
      <c r="R19" s="534"/>
      <c r="S19" s="73" t="s">
        <v>12</v>
      </c>
      <c r="T19" s="74" t="s">
        <v>258</v>
      </c>
      <c r="U19" s="15"/>
      <c r="V19" s="39"/>
      <c r="W19" s="83" t="s">
        <v>262</v>
      </c>
      <c r="X19" s="37" t="s">
        <v>235</v>
      </c>
      <c r="Y19" s="40"/>
    </row>
    <row r="20" spans="3:25" ht="17.25" thickBot="1" x14ac:dyDescent="0.35">
      <c r="C20" s="544"/>
      <c r="D20" s="19">
        <v>10</v>
      </c>
      <c r="E20" s="20">
        <v>11.25</v>
      </c>
      <c r="F20" s="20">
        <v>12.5</v>
      </c>
      <c r="G20" s="20">
        <v>13.75</v>
      </c>
      <c r="H20" s="36">
        <v>15</v>
      </c>
      <c r="I20" s="19">
        <v>20</v>
      </c>
      <c r="J20" s="20">
        <v>22.5</v>
      </c>
      <c r="K20" s="20">
        <v>25</v>
      </c>
      <c r="L20" s="20">
        <v>27.5</v>
      </c>
      <c r="M20" s="36">
        <v>30</v>
      </c>
      <c r="N20" s="20">
        <v>20</v>
      </c>
      <c r="O20" s="20">
        <v>22.5</v>
      </c>
      <c r="P20" s="20">
        <v>25</v>
      </c>
      <c r="Q20" s="20">
        <v>27.5</v>
      </c>
      <c r="R20" s="36">
        <v>30</v>
      </c>
      <c r="S20" s="75">
        <v>30</v>
      </c>
      <c r="T20" s="24">
        <v>20</v>
      </c>
      <c r="U20" s="15"/>
      <c r="V20" s="39"/>
      <c r="W20" s="83" t="s">
        <v>268</v>
      </c>
      <c r="X20" s="37" t="s">
        <v>235</v>
      </c>
      <c r="Y20" s="40"/>
    </row>
    <row r="21" spans="3:25" x14ac:dyDescent="0.3">
      <c r="C21" s="546" t="s">
        <v>93</v>
      </c>
      <c r="D21" s="527" t="s">
        <v>81</v>
      </c>
      <c r="E21" s="528"/>
      <c r="F21" s="528"/>
      <c r="G21" s="528"/>
      <c r="H21" s="529"/>
      <c r="I21" s="527" t="s">
        <v>82</v>
      </c>
      <c r="J21" s="528"/>
      <c r="K21" s="528"/>
      <c r="L21" s="528"/>
      <c r="M21" s="529"/>
      <c r="N21" s="528" t="s">
        <v>83</v>
      </c>
      <c r="O21" s="528"/>
      <c r="P21" s="528"/>
      <c r="Q21" s="528"/>
      <c r="R21" s="529"/>
      <c r="S21" s="530" t="s">
        <v>260</v>
      </c>
      <c r="T21" s="531"/>
      <c r="U21" s="15"/>
      <c r="V21" s="39"/>
      <c r="W21" s="83" t="s">
        <v>384</v>
      </c>
      <c r="X21" s="37" t="s">
        <v>235</v>
      </c>
      <c r="Y21" s="40"/>
    </row>
    <row r="22" spans="3:25" x14ac:dyDescent="0.3">
      <c r="C22" s="543"/>
      <c r="D22" s="536" t="s">
        <v>107</v>
      </c>
      <c r="E22" s="533"/>
      <c r="F22" s="533"/>
      <c r="G22" s="533"/>
      <c r="H22" s="534"/>
      <c r="I22" s="547" t="s">
        <v>387</v>
      </c>
      <c r="J22" s="533"/>
      <c r="K22" s="533"/>
      <c r="L22" s="533"/>
      <c r="M22" s="534"/>
      <c r="N22" s="538" t="s">
        <v>386</v>
      </c>
      <c r="O22" s="533"/>
      <c r="P22" s="533"/>
      <c r="Q22" s="533"/>
      <c r="R22" s="534"/>
      <c r="S22" s="16" t="s">
        <v>112</v>
      </c>
      <c r="T22" s="398" t="s">
        <v>648</v>
      </c>
      <c r="U22" s="15"/>
      <c r="V22" s="39"/>
      <c r="W22" s="83" t="s">
        <v>459</v>
      </c>
      <c r="X22" s="37" t="s">
        <v>235</v>
      </c>
      <c r="Y22" s="40"/>
    </row>
    <row r="23" spans="3:25" ht="17.25" thickBot="1" x14ac:dyDescent="0.35">
      <c r="C23" s="544"/>
      <c r="D23" s="19">
        <v>25</v>
      </c>
      <c r="E23" s="20">
        <v>28.12</v>
      </c>
      <c r="F23" s="20">
        <v>31.25</v>
      </c>
      <c r="G23" s="20">
        <v>34.369999999999997</v>
      </c>
      <c r="H23" s="36">
        <v>37.5</v>
      </c>
      <c r="I23" s="19">
        <v>15</v>
      </c>
      <c r="J23" s="20">
        <v>16.87</v>
      </c>
      <c r="K23" s="20">
        <v>18.75</v>
      </c>
      <c r="L23" s="20">
        <v>20.62</v>
      </c>
      <c r="M23" s="36">
        <v>22.5</v>
      </c>
      <c r="N23" s="20">
        <v>80</v>
      </c>
      <c r="O23" s="20">
        <v>90</v>
      </c>
      <c r="P23" s="20">
        <v>100</v>
      </c>
      <c r="Q23" s="20">
        <v>110</v>
      </c>
      <c r="R23" s="36">
        <v>120</v>
      </c>
      <c r="S23" s="23">
        <v>15</v>
      </c>
      <c r="T23" s="21"/>
      <c r="U23" s="15"/>
      <c r="V23" s="39"/>
      <c r="W23" s="83" t="s">
        <v>660</v>
      </c>
      <c r="X23" s="37" t="s">
        <v>235</v>
      </c>
      <c r="Y23" s="40"/>
    </row>
    <row r="24" spans="3:25" x14ac:dyDescent="0.3">
      <c r="C24" s="542" t="s">
        <v>94</v>
      </c>
      <c r="D24" s="527" t="s">
        <v>81</v>
      </c>
      <c r="E24" s="528"/>
      <c r="F24" s="528"/>
      <c r="G24" s="528"/>
      <c r="H24" s="529"/>
      <c r="I24" s="527" t="s">
        <v>82</v>
      </c>
      <c r="J24" s="528"/>
      <c r="K24" s="528"/>
      <c r="L24" s="528"/>
      <c r="M24" s="529"/>
      <c r="N24" s="528" t="s">
        <v>83</v>
      </c>
      <c r="O24" s="528"/>
      <c r="P24" s="528"/>
      <c r="Q24" s="528"/>
      <c r="R24" s="529"/>
      <c r="S24" s="530" t="s">
        <v>260</v>
      </c>
      <c r="T24" s="531"/>
      <c r="U24" s="15"/>
      <c r="V24" s="39"/>
      <c r="W24" s="83" t="s">
        <v>611</v>
      </c>
      <c r="X24" s="37" t="s">
        <v>235</v>
      </c>
      <c r="Y24" s="40"/>
    </row>
    <row r="25" spans="3:25" x14ac:dyDescent="0.3">
      <c r="C25" s="543"/>
      <c r="D25" s="536" t="s">
        <v>110</v>
      </c>
      <c r="E25" s="533"/>
      <c r="F25" s="533"/>
      <c r="G25" s="533"/>
      <c r="H25" s="534"/>
      <c r="I25" s="536" t="s">
        <v>65</v>
      </c>
      <c r="J25" s="533"/>
      <c r="K25" s="533"/>
      <c r="L25" s="533"/>
      <c r="M25" s="534"/>
      <c r="N25" s="549" t="s">
        <v>113</v>
      </c>
      <c r="O25" s="533"/>
      <c r="P25" s="533"/>
      <c r="Q25" s="533"/>
      <c r="R25" s="534"/>
      <c r="S25" s="390" t="s">
        <v>266</v>
      </c>
      <c r="T25" s="396" t="s">
        <v>638</v>
      </c>
      <c r="U25" s="15"/>
      <c r="V25" s="39"/>
      <c r="W25" s="40"/>
      <c r="X25" s="40"/>
      <c r="Y25" s="40"/>
    </row>
    <row r="26" spans="3:25" ht="17.25" thickBot="1" x14ac:dyDescent="0.35">
      <c r="C26" s="544"/>
      <c r="D26" s="19">
        <v>10</v>
      </c>
      <c r="E26" s="20">
        <v>11.25</v>
      </c>
      <c r="F26" s="20">
        <v>12.5</v>
      </c>
      <c r="G26" s="20">
        <v>13.75</v>
      </c>
      <c r="H26" s="36">
        <v>15</v>
      </c>
      <c r="I26" s="19">
        <v>20</v>
      </c>
      <c r="J26" s="20">
        <v>22.5</v>
      </c>
      <c r="K26" s="20">
        <v>25</v>
      </c>
      <c r="L26" s="20">
        <v>27.5</v>
      </c>
      <c r="M26" s="36">
        <v>30</v>
      </c>
      <c r="N26" s="20">
        <v>20</v>
      </c>
      <c r="O26" s="20">
        <v>22.5</v>
      </c>
      <c r="P26" s="20">
        <v>25</v>
      </c>
      <c r="Q26" s="20">
        <v>27.5</v>
      </c>
      <c r="R26" s="36">
        <v>30</v>
      </c>
      <c r="S26" s="23">
        <v>15</v>
      </c>
      <c r="T26" s="24">
        <v>10</v>
      </c>
      <c r="U26" s="15"/>
      <c r="V26" s="39"/>
      <c r="W26" s="40"/>
      <c r="X26" s="40"/>
      <c r="Y26" s="40"/>
    </row>
    <row r="27" spans="3:25" x14ac:dyDescent="0.25">
      <c r="C27" s="548" t="s">
        <v>262</v>
      </c>
      <c r="D27" s="527" t="s">
        <v>81</v>
      </c>
      <c r="E27" s="528"/>
      <c r="F27" s="528"/>
      <c r="G27" s="528"/>
      <c r="H27" s="529"/>
      <c r="I27" s="527" t="s">
        <v>82</v>
      </c>
      <c r="J27" s="528"/>
      <c r="K27" s="528"/>
      <c r="L27" s="528"/>
      <c r="M27" s="529"/>
      <c r="N27" s="528" t="s">
        <v>83</v>
      </c>
      <c r="O27" s="528"/>
      <c r="P27" s="528"/>
      <c r="Q27" s="528"/>
      <c r="R27" s="529"/>
      <c r="S27" s="530" t="s">
        <v>260</v>
      </c>
      <c r="T27" s="531"/>
      <c r="U27" s="15"/>
      <c r="V27" s="15"/>
    </row>
    <row r="28" spans="3:25" x14ac:dyDescent="0.25">
      <c r="C28" s="543"/>
      <c r="D28" s="535" t="s">
        <v>263</v>
      </c>
      <c r="E28" s="533"/>
      <c r="F28" s="533"/>
      <c r="G28" s="533"/>
      <c r="H28" s="534"/>
      <c r="I28" s="535" t="s">
        <v>264</v>
      </c>
      <c r="J28" s="533"/>
      <c r="K28" s="533"/>
      <c r="L28" s="533"/>
      <c r="M28" s="534"/>
      <c r="N28" s="550" t="s">
        <v>265</v>
      </c>
      <c r="O28" s="533"/>
      <c r="P28" s="533"/>
      <c r="Q28" s="533"/>
      <c r="R28" s="534"/>
      <c r="S28" s="71" t="s">
        <v>266</v>
      </c>
      <c r="T28" s="74" t="s">
        <v>267</v>
      </c>
      <c r="U28" s="15"/>
      <c r="V28" s="15"/>
    </row>
    <row r="29" spans="3:25" ht="17.25" thickBot="1" x14ac:dyDescent="0.3">
      <c r="C29" s="544"/>
      <c r="D29" s="19">
        <v>15</v>
      </c>
      <c r="E29" s="20">
        <v>16.87</v>
      </c>
      <c r="F29" s="20">
        <v>18.75</v>
      </c>
      <c r="G29" s="20">
        <v>20.62</v>
      </c>
      <c r="H29" s="36">
        <v>22.5</v>
      </c>
      <c r="I29" s="19">
        <v>15</v>
      </c>
      <c r="J29" s="20">
        <v>16.87</v>
      </c>
      <c r="K29" s="20">
        <v>18.75</v>
      </c>
      <c r="L29" s="20">
        <v>20.62</v>
      </c>
      <c r="M29" s="36">
        <v>22.5</v>
      </c>
      <c r="N29" s="19">
        <v>15</v>
      </c>
      <c r="O29" s="20">
        <v>16.87</v>
      </c>
      <c r="P29" s="20">
        <v>18.75</v>
      </c>
      <c r="Q29" s="20">
        <v>20.62</v>
      </c>
      <c r="R29" s="36">
        <v>22.5</v>
      </c>
      <c r="S29" s="23">
        <v>15</v>
      </c>
      <c r="T29" s="24">
        <v>25</v>
      </c>
      <c r="U29" s="15"/>
      <c r="V29" s="15"/>
    </row>
    <row r="30" spans="3:25" x14ac:dyDescent="0.25">
      <c r="C30" s="551" t="s">
        <v>268</v>
      </c>
      <c r="D30" s="527" t="s">
        <v>81</v>
      </c>
      <c r="E30" s="528"/>
      <c r="F30" s="528"/>
      <c r="G30" s="528"/>
      <c r="H30" s="529"/>
      <c r="I30" s="527" t="s">
        <v>82</v>
      </c>
      <c r="J30" s="528"/>
      <c r="K30" s="528"/>
      <c r="L30" s="528"/>
      <c r="M30" s="529"/>
      <c r="N30" s="528" t="s">
        <v>83</v>
      </c>
      <c r="O30" s="528"/>
      <c r="P30" s="528"/>
      <c r="Q30" s="528"/>
      <c r="R30" s="529"/>
      <c r="S30" s="530" t="s">
        <v>260</v>
      </c>
      <c r="T30" s="531"/>
      <c r="U30" s="15"/>
      <c r="V30" s="15"/>
    </row>
    <row r="31" spans="3:25" x14ac:dyDescent="0.25">
      <c r="C31" s="543"/>
      <c r="D31" s="547" t="s">
        <v>637</v>
      </c>
      <c r="E31" s="533"/>
      <c r="F31" s="533"/>
      <c r="G31" s="533"/>
      <c r="H31" s="534"/>
      <c r="I31" s="536" t="s">
        <v>65</v>
      </c>
      <c r="J31" s="533"/>
      <c r="K31" s="533"/>
      <c r="L31" s="533"/>
      <c r="M31" s="534"/>
      <c r="N31" s="549" t="s">
        <v>113</v>
      </c>
      <c r="O31" s="533"/>
      <c r="P31" s="533"/>
      <c r="Q31" s="533"/>
      <c r="R31" s="534"/>
      <c r="S31" s="71" t="s">
        <v>80</v>
      </c>
      <c r="T31" s="396" t="s">
        <v>636</v>
      </c>
      <c r="U31" s="15"/>
      <c r="V31" s="15"/>
    </row>
    <row r="32" spans="3:25" ht="17.25" thickBot="1" x14ac:dyDescent="0.3">
      <c r="C32" s="544"/>
      <c r="D32" s="19">
        <v>10</v>
      </c>
      <c r="E32" s="20">
        <v>11.25</v>
      </c>
      <c r="F32" s="20">
        <v>12.5</v>
      </c>
      <c r="G32" s="20">
        <v>13.75</v>
      </c>
      <c r="H32" s="36">
        <v>15</v>
      </c>
      <c r="I32" s="19">
        <v>20</v>
      </c>
      <c r="J32" s="20">
        <v>22.5</v>
      </c>
      <c r="K32" s="20">
        <v>25</v>
      </c>
      <c r="L32" s="20">
        <v>27.5</v>
      </c>
      <c r="M32" s="36">
        <v>30</v>
      </c>
      <c r="N32" s="20">
        <v>20</v>
      </c>
      <c r="O32" s="20">
        <v>22.5</v>
      </c>
      <c r="P32" s="20">
        <v>25</v>
      </c>
      <c r="Q32" s="20">
        <v>27.5</v>
      </c>
      <c r="R32" s="36">
        <v>30</v>
      </c>
      <c r="S32" s="23">
        <v>15</v>
      </c>
      <c r="T32" s="24">
        <v>30</v>
      </c>
      <c r="U32" s="15"/>
      <c r="V32" s="15"/>
    </row>
    <row r="33" spans="3:22" x14ac:dyDescent="0.25">
      <c r="C33" s="553" t="s">
        <v>384</v>
      </c>
      <c r="D33" s="527" t="s">
        <v>81</v>
      </c>
      <c r="E33" s="528"/>
      <c r="F33" s="528"/>
      <c r="G33" s="528"/>
      <c r="H33" s="529"/>
      <c r="I33" s="527" t="s">
        <v>82</v>
      </c>
      <c r="J33" s="528"/>
      <c r="K33" s="528"/>
      <c r="L33" s="528"/>
      <c r="M33" s="529"/>
      <c r="N33" s="528" t="s">
        <v>83</v>
      </c>
      <c r="O33" s="528"/>
      <c r="P33" s="528"/>
      <c r="Q33" s="528"/>
      <c r="R33" s="529"/>
      <c r="S33" s="530" t="s">
        <v>260</v>
      </c>
      <c r="T33" s="531"/>
      <c r="U33" s="15"/>
      <c r="V33" s="15"/>
    </row>
    <row r="34" spans="3:22" x14ac:dyDescent="0.25">
      <c r="C34" s="543"/>
      <c r="D34" s="552" t="s">
        <v>388</v>
      </c>
      <c r="E34" s="533"/>
      <c r="F34" s="533"/>
      <c r="G34" s="533"/>
      <c r="H34" s="534"/>
      <c r="I34" s="535" t="s">
        <v>263</v>
      </c>
      <c r="J34" s="533"/>
      <c r="K34" s="533"/>
      <c r="L34" s="533"/>
      <c r="M34" s="534"/>
      <c r="N34" s="536" t="s">
        <v>107</v>
      </c>
      <c r="O34" s="533"/>
      <c r="P34" s="533"/>
      <c r="Q34" s="533"/>
      <c r="R34" s="534"/>
      <c r="S34" s="73" t="s">
        <v>12</v>
      </c>
      <c r="T34" s="160" t="s">
        <v>389</v>
      </c>
      <c r="U34" s="15"/>
      <c r="V34" s="15"/>
    </row>
    <row r="35" spans="3:22" ht="17.25" thickBot="1" x14ac:dyDescent="0.3">
      <c r="C35" s="544"/>
      <c r="D35" s="19">
        <v>15</v>
      </c>
      <c r="E35" s="20">
        <v>16.87</v>
      </c>
      <c r="F35" s="20">
        <v>18.75</v>
      </c>
      <c r="G35" s="20">
        <v>20.62</v>
      </c>
      <c r="H35" s="36">
        <v>22.5</v>
      </c>
      <c r="I35" s="19">
        <v>15</v>
      </c>
      <c r="J35" s="20">
        <v>16.87</v>
      </c>
      <c r="K35" s="20">
        <v>18.75</v>
      </c>
      <c r="L35" s="20">
        <v>20.62</v>
      </c>
      <c r="M35" s="36">
        <v>22.5</v>
      </c>
      <c r="N35" s="19">
        <v>25</v>
      </c>
      <c r="O35" s="20">
        <v>28.12</v>
      </c>
      <c r="P35" s="20">
        <v>31.25</v>
      </c>
      <c r="Q35" s="20">
        <v>34.369999999999997</v>
      </c>
      <c r="R35" s="36">
        <v>37.5</v>
      </c>
      <c r="S35" s="23">
        <v>20</v>
      </c>
      <c r="T35" s="24">
        <v>20</v>
      </c>
      <c r="U35" s="15"/>
      <c r="V35" s="15"/>
    </row>
    <row r="36" spans="3:22" ht="16.5" customHeight="1" x14ac:dyDescent="0.25">
      <c r="C36" s="554" t="s">
        <v>385</v>
      </c>
      <c r="D36" s="527" t="s">
        <v>81</v>
      </c>
      <c r="E36" s="528"/>
      <c r="F36" s="528"/>
      <c r="G36" s="528"/>
      <c r="H36" s="529"/>
      <c r="I36" s="527" t="s">
        <v>82</v>
      </c>
      <c r="J36" s="528"/>
      <c r="K36" s="528"/>
      <c r="L36" s="528"/>
      <c r="M36" s="529"/>
      <c r="N36" s="528" t="s">
        <v>83</v>
      </c>
      <c r="O36" s="528"/>
      <c r="P36" s="528"/>
      <c r="Q36" s="528"/>
      <c r="R36" s="529"/>
      <c r="S36" s="530" t="s">
        <v>260</v>
      </c>
      <c r="T36" s="531"/>
    </row>
    <row r="37" spans="3:22" x14ac:dyDescent="0.25">
      <c r="C37" s="525"/>
      <c r="D37" s="537" t="s">
        <v>12</v>
      </c>
      <c r="E37" s="533"/>
      <c r="F37" s="533"/>
      <c r="G37" s="533"/>
      <c r="H37" s="534"/>
      <c r="I37" s="538" t="s">
        <v>386</v>
      </c>
      <c r="J37" s="533"/>
      <c r="K37" s="533"/>
      <c r="L37" s="533"/>
      <c r="M37" s="534"/>
      <c r="N37" s="552" t="s">
        <v>387</v>
      </c>
      <c r="O37" s="533"/>
      <c r="P37" s="533"/>
      <c r="Q37" s="533"/>
      <c r="R37" s="534"/>
      <c r="S37" s="73" t="s">
        <v>12</v>
      </c>
      <c r="T37" s="160" t="s">
        <v>390</v>
      </c>
    </row>
    <row r="38" spans="3:22" ht="17.25" thickBot="1" x14ac:dyDescent="0.3">
      <c r="C38" s="526"/>
      <c r="D38" s="19">
        <v>20</v>
      </c>
      <c r="E38" s="20">
        <v>22.5</v>
      </c>
      <c r="F38" s="20">
        <v>25</v>
      </c>
      <c r="G38" s="20">
        <v>27.5</v>
      </c>
      <c r="H38" s="36">
        <v>30</v>
      </c>
      <c r="I38" s="20">
        <v>80</v>
      </c>
      <c r="J38" s="20">
        <v>90</v>
      </c>
      <c r="K38" s="20">
        <v>100</v>
      </c>
      <c r="L38" s="20">
        <v>110</v>
      </c>
      <c r="M38" s="36">
        <v>120</v>
      </c>
      <c r="N38" s="19">
        <v>15</v>
      </c>
      <c r="O38" s="20">
        <v>16.87</v>
      </c>
      <c r="P38" s="20">
        <v>18.75</v>
      </c>
      <c r="Q38" s="20">
        <v>20.62</v>
      </c>
      <c r="R38" s="36">
        <v>22.5</v>
      </c>
      <c r="S38" s="23">
        <v>15</v>
      </c>
      <c r="T38" s="24">
        <v>15</v>
      </c>
    </row>
    <row r="39" spans="3:22" x14ac:dyDescent="0.25">
      <c r="C39" s="524" t="s">
        <v>660</v>
      </c>
      <c r="D39" s="527" t="s">
        <v>81</v>
      </c>
      <c r="E39" s="528"/>
      <c r="F39" s="528"/>
      <c r="G39" s="528"/>
      <c r="H39" s="529"/>
      <c r="I39" s="527" t="s">
        <v>82</v>
      </c>
      <c r="J39" s="528"/>
      <c r="K39" s="528"/>
      <c r="L39" s="528"/>
      <c r="M39" s="529"/>
      <c r="N39" s="528" t="s">
        <v>83</v>
      </c>
      <c r="O39" s="528"/>
      <c r="P39" s="528"/>
      <c r="Q39" s="528"/>
      <c r="R39" s="529"/>
      <c r="S39" s="530" t="s">
        <v>260</v>
      </c>
      <c r="T39" s="531"/>
    </row>
    <row r="40" spans="3:22" x14ac:dyDescent="0.25">
      <c r="C40" s="525"/>
      <c r="D40" s="532" t="s">
        <v>264</v>
      </c>
      <c r="E40" s="533"/>
      <c r="F40" s="533"/>
      <c r="G40" s="533"/>
      <c r="H40" s="534"/>
      <c r="I40" s="535" t="s">
        <v>263</v>
      </c>
      <c r="J40" s="533"/>
      <c r="K40" s="533"/>
      <c r="L40" s="533"/>
      <c r="M40" s="534"/>
      <c r="N40" s="536" t="s">
        <v>107</v>
      </c>
      <c r="O40" s="533"/>
      <c r="P40" s="533"/>
      <c r="Q40" s="533"/>
      <c r="R40" s="534"/>
      <c r="S40" s="73" t="s">
        <v>264</v>
      </c>
      <c r="T40" s="383" t="s">
        <v>610</v>
      </c>
    </row>
    <row r="41" spans="3:22" ht="17.25" thickBot="1" x14ac:dyDescent="0.3">
      <c r="C41" s="526"/>
      <c r="D41" s="19">
        <v>15</v>
      </c>
      <c r="E41" s="20">
        <v>16.87</v>
      </c>
      <c r="F41" s="20">
        <v>18.75</v>
      </c>
      <c r="G41" s="20">
        <v>20.62</v>
      </c>
      <c r="H41" s="36">
        <v>22.5</v>
      </c>
      <c r="I41" s="19">
        <v>15</v>
      </c>
      <c r="J41" s="20">
        <v>16.87</v>
      </c>
      <c r="K41" s="20">
        <v>18.75</v>
      </c>
      <c r="L41" s="20">
        <v>20.62</v>
      </c>
      <c r="M41" s="36">
        <v>22.5</v>
      </c>
      <c r="N41" s="19">
        <v>25</v>
      </c>
      <c r="O41" s="20">
        <v>28.12</v>
      </c>
      <c r="P41" s="20">
        <v>31.25</v>
      </c>
      <c r="Q41" s="20">
        <v>34.369999999999997</v>
      </c>
      <c r="R41" s="36">
        <v>37.5</v>
      </c>
      <c r="S41" s="23">
        <v>10</v>
      </c>
      <c r="T41" s="24">
        <v>20</v>
      </c>
    </row>
    <row r="42" spans="3:22" x14ac:dyDescent="0.25">
      <c r="C42" s="524" t="s">
        <v>611</v>
      </c>
      <c r="D42" s="527" t="s">
        <v>81</v>
      </c>
      <c r="E42" s="528"/>
      <c r="F42" s="528"/>
      <c r="G42" s="528"/>
      <c r="H42" s="529"/>
      <c r="I42" s="527" t="s">
        <v>82</v>
      </c>
      <c r="J42" s="528"/>
      <c r="K42" s="528"/>
      <c r="L42" s="528"/>
      <c r="M42" s="529"/>
      <c r="N42" s="528" t="s">
        <v>83</v>
      </c>
      <c r="O42" s="528"/>
      <c r="P42" s="528"/>
      <c r="Q42" s="528"/>
      <c r="R42" s="529"/>
      <c r="S42" s="530" t="s">
        <v>260</v>
      </c>
      <c r="T42" s="531"/>
    </row>
    <row r="43" spans="3:22" x14ac:dyDescent="0.25">
      <c r="C43" s="525"/>
      <c r="D43" s="532" t="s">
        <v>265</v>
      </c>
      <c r="E43" s="533"/>
      <c r="F43" s="533"/>
      <c r="G43" s="533"/>
      <c r="H43" s="534"/>
      <c r="I43" s="535" t="s">
        <v>263</v>
      </c>
      <c r="J43" s="533"/>
      <c r="K43" s="533"/>
      <c r="L43" s="533"/>
      <c r="M43" s="534"/>
      <c r="N43" s="536" t="s">
        <v>107</v>
      </c>
      <c r="O43" s="533"/>
      <c r="P43" s="533"/>
      <c r="Q43" s="533"/>
      <c r="R43" s="534"/>
      <c r="S43" s="382" t="s">
        <v>95</v>
      </c>
      <c r="T43" s="402" t="s">
        <v>652</v>
      </c>
    </row>
    <row r="44" spans="3:22" ht="17.25" thickBot="1" x14ac:dyDescent="0.3">
      <c r="C44" s="526"/>
      <c r="D44" s="19">
        <v>15</v>
      </c>
      <c r="E44" s="20">
        <v>16.87</v>
      </c>
      <c r="F44" s="20">
        <v>18.75</v>
      </c>
      <c r="G44" s="20">
        <v>20.62</v>
      </c>
      <c r="H44" s="36">
        <v>22.5</v>
      </c>
      <c r="I44" s="19">
        <v>15</v>
      </c>
      <c r="J44" s="20">
        <v>16.87</v>
      </c>
      <c r="K44" s="20">
        <v>18.75</v>
      </c>
      <c r="L44" s="20">
        <v>20.62</v>
      </c>
      <c r="M44" s="36">
        <v>22.5</v>
      </c>
      <c r="N44" s="19">
        <v>25</v>
      </c>
      <c r="O44" s="20">
        <v>28.12</v>
      </c>
      <c r="P44" s="20">
        <v>31.25</v>
      </c>
      <c r="Q44" s="20">
        <v>34.369999999999997</v>
      </c>
      <c r="R44" s="36">
        <v>37.5</v>
      </c>
      <c r="S44" s="23">
        <v>6</v>
      </c>
      <c r="T44" s="24">
        <v>20</v>
      </c>
    </row>
  </sheetData>
  <mergeCells count="107">
    <mergeCell ref="S36:T36"/>
    <mergeCell ref="D37:H37"/>
    <mergeCell ref="I37:M37"/>
    <mergeCell ref="N37:R37"/>
    <mergeCell ref="C33:C35"/>
    <mergeCell ref="C36:C38"/>
    <mergeCell ref="D36:H36"/>
    <mergeCell ref="I36:M36"/>
    <mergeCell ref="N36:R36"/>
    <mergeCell ref="D33:H33"/>
    <mergeCell ref="D34:H34"/>
    <mergeCell ref="I33:M33"/>
    <mergeCell ref="N33:R33"/>
    <mergeCell ref="S33:T33"/>
    <mergeCell ref="I34:M34"/>
    <mergeCell ref="N34:R34"/>
    <mergeCell ref="S27:T27"/>
    <mergeCell ref="D28:H28"/>
    <mergeCell ref="I28:M28"/>
    <mergeCell ref="N28:R28"/>
    <mergeCell ref="C30:C32"/>
    <mergeCell ref="D30:H30"/>
    <mergeCell ref="I30:M30"/>
    <mergeCell ref="N30:R30"/>
    <mergeCell ref="S30:T30"/>
    <mergeCell ref="D31:H31"/>
    <mergeCell ref="I31:M31"/>
    <mergeCell ref="N31:R31"/>
    <mergeCell ref="D12:H12"/>
    <mergeCell ref="I12:M12"/>
    <mergeCell ref="N12:R12"/>
    <mergeCell ref="I7:M7"/>
    <mergeCell ref="C27:C29"/>
    <mergeCell ref="D27:H27"/>
    <mergeCell ref="I27:M27"/>
    <mergeCell ref="N27:R27"/>
    <mergeCell ref="D13:H13"/>
    <mergeCell ref="I13:M13"/>
    <mergeCell ref="N13:R13"/>
    <mergeCell ref="D25:H25"/>
    <mergeCell ref="I25:M25"/>
    <mergeCell ref="N25:R25"/>
    <mergeCell ref="D19:H19"/>
    <mergeCell ref="I19:M19"/>
    <mergeCell ref="N19:R19"/>
    <mergeCell ref="D16:H16"/>
    <mergeCell ref="I16:M16"/>
    <mergeCell ref="N16:R16"/>
    <mergeCell ref="D18:H18"/>
    <mergeCell ref="I18:M18"/>
    <mergeCell ref="N18:R18"/>
    <mergeCell ref="S18:T18"/>
    <mergeCell ref="D15:H15"/>
    <mergeCell ref="I15:M15"/>
    <mergeCell ref="N15:R15"/>
    <mergeCell ref="C6:C8"/>
    <mergeCell ref="C24:C26"/>
    <mergeCell ref="C9:C11"/>
    <mergeCell ref="C12:C14"/>
    <mergeCell ref="C15:C17"/>
    <mergeCell ref="C18:C20"/>
    <mergeCell ref="C21:C23"/>
    <mergeCell ref="S12:T12"/>
    <mergeCell ref="S15:T15"/>
    <mergeCell ref="S21:T21"/>
    <mergeCell ref="D22:H22"/>
    <mergeCell ref="I22:M22"/>
    <mergeCell ref="N22:R22"/>
    <mergeCell ref="D24:H24"/>
    <mergeCell ref="I24:M24"/>
    <mergeCell ref="N24:R24"/>
    <mergeCell ref="S24:T24"/>
    <mergeCell ref="D21:H21"/>
    <mergeCell ref="I21:M21"/>
    <mergeCell ref="N21:R21"/>
    <mergeCell ref="D2:H2"/>
    <mergeCell ref="I2:M2"/>
    <mergeCell ref="N2:R2"/>
    <mergeCell ref="S6:T6"/>
    <mergeCell ref="D10:H10"/>
    <mergeCell ref="D9:H9"/>
    <mergeCell ref="I9:M9"/>
    <mergeCell ref="N9:R9"/>
    <mergeCell ref="S9:T9"/>
    <mergeCell ref="I10:M10"/>
    <mergeCell ref="N10:R10"/>
    <mergeCell ref="D6:H6"/>
    <mergeCell ref="I6:M6"/>
    <mergeCell ref="N6:R6"/>
    <mergeCell ref="D7:H7"/>
    <mergeCell ref="N7:R7"/>
    <mergeCell ref="C42:C44"/>
    <mergeCell ref="D42:H42"/>
    <mergeCell ref="I42:M42"/>
    <mergeCell ref="N42:R42"/>
    <mergeCell ref="S42:T42"/>
    <mergeCell ref="D43:H43"/>
    <mergeCell ref="I43:M43"/>
    <mergeCell ref="N43:R43"/>
    <mergeCell ref="C39:C41"/>
    <mergeCell ref="D39:H39"/>
    <mergeCell ref="I39:M39"/>
    <mergeCell ref="N39:R39"/>
    <mergeCell ref="S39:T39"/>
    <mergeCell ref="D40:H40"/>
    <mergeCell ref="I40:M40"/>
    <mergeCell ref="N40:R40"/>
  </mergeCells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987451-BC49-4EBA-A0E6-E2172E253DAE}">
  <dimension ref="A2:N94"/>
  <sheetViews>
    <sheetView zoomScale="115" zoomScaleNormal="115" workbookViewId="0">
      <selection activeCell="J3" sqref="J3"/>
    </sheetView>
  </sheetViews>
  <sheetFormatPr defaultRowHeight="16.5" x14ac:dyDescent="0.25"/>
  <cols>
    <col min="2" max="2" width="9.7109375" customWidth="1"/>
    <col min="3" max="3" width="11.140625" customWidth="1"/>
    <col min="4" max="4" width="22.28515625" style="276" customWidth="1"/>
    <col min="5" max="5" width="9.140625" style="276"/>
    <col min="6" max="6" width="15.42578125" customWidth="1"/>
    <col min="11" max="11" width="24.85546875" customWidth="1"/>
    <col min="12" max="12" width="21.5703125" customWidth="1"/>
    <col min="13" max="13" width="20.5703125" customWidth="1"/>
    <col min="14" max="14" width="19.140625" customWidth="1"/>
  </cols>
  <sheetData>
    <row r="2" spans="1:14" x14ac:dyDescent="0.25">
      <c r="E2" s="276" t="s">
        <v>183</v>
      </c>
      <c r="F2" s="276"/>
      <c r="G2" s="276"/>
      <c r="H2" s="276"/>
    </row>
    <row r="3" spans="1:14" x14ac:dyDescent="0.25">
      <c r="A3" s="276"/>
      <c r="B3" s="555" t="s">
        <v>15</v>
      </c>
      <c r="C3" s="556" t="s">
        <v>185</v>
      </c>
      <c r="D3" s="305" t="s">
        <v>525</v>
      </c>
      <c r="E3" s="332">
        <v>100</v>
      </c>
      <c r="F3" s="276"/>
      <c r="G3" s="276"/>
      <c r="J3" s="276" t="s">
        <v>15</v>
      </c>
      <c r="K3" s="276" t="s">
        <v>520</v>
      </c>
      <c r="L3" s="276" t="s">
        <v>521</v>
      </c>
      <c r="M3" s="276" t="s">
        <v>522</v>
      </c>
      <c r="N3" s="276" t="s">
        <v>531</v>
      </c>
    </row>
    <row r="4" spans="1:14" x14ac:dyDescent="0.25">
      <c r="A4" s="276"/>
      <c r="B4" s="555"/>
      <c r="C4" s="556"/>
      <c r="D4" s="305" t="s">
        <v>526</v>
      </c>
      <c r="E4" s="332">
        <v>120</v>
      </c>
      <c r="F4" s="276"/>
      <c r="G4" s="276"/>
      <c r="J4" s="276" t="s">
        <v>16</v>
      </c>
      <c r="K4" s="276"/>
      <c r="L4" s="276"/>
      <c r="M4" s="276"/>
      <c r="N4" s="276"/>
    </row>
    <row r="5" spans="1:14" x14ac:dyDescent="0.25">
      <c r="A5" s="276"/>
      <c r="B5" s="555"/>
      <c r="C5" s="556"/>
      <c r="D5" s="305" t="s">
        <v>527</v>
      </c>
      <c r="E5" s="332">
        <v>150</v>
      </c>
      <c r="F5" s="276"/>
      <c r="G5" s="276"/>
      <c r="J5" s="276"/>
      <c r="K5" s="276"/>
      <c r="L5" s="276"/>
      <c r="M5" s="276"/>
      <c r="N5" s="276"/>
    </row>
    <row r="6" spans="1:14" x14ac:dyDescent="0.25">
      <c r="A6" s="276"/>
      <c r="B6" s="555"/>
      <c r="C6" s="556"/>
      <c r="D6" s="305" t="s">
        <v>524</v>
      </c>
      <c r="E6" s="332">
        <v>400</v>
      </c>
      <c r="F6" s="276"/>
      <c r="G6" s="276"/>
      <c r="J6" s="276"/>
      <c r="K6" s="276"/>
      <c r="L6" s="276"/>
      <c r="M6" s="276"/>
      <c r="N6" s="276"/>
    </row>
    <row r="7" spans="1:14" x14ac:dyDescent="0.25">
      <c r="A7" s="276"/>
      <c r="B7" s="555"/>
      <c r="C7" s="556" t="s">
        <v>180</v>
      </c>
      <c r="D7" s="305" t="s">
        <v>473</v>
      </c>
      <c r="E7" s="332">
        <v>750</v>
      </c>
      <c r="F7" s="276"/>
      <c r="G7" s="276"/>
      <c r="H7" s="276"/>
      <c r="J7" s="276"/>
      <c r="K7" s="276"/>
      <c r="L7" s="276"/>
      <c r="M7" s="276"/>
      <c r="N7" s="276"/>
    </row>
    <row r="8" spans="1:14" x14ac:dyDescent="0.25">
      <c r="A8" s="276"/>
      <c r="B8" s="555"/>
      <c r="C8" s="556"/>
      <c r="D8" s="305" t="s">
        <v>540</v>
      </c>
      <c r="E8" s="332">
        <v>1650</v>
      </c>
      <c r="F8" s="276"/>
      <c r="G8" s="276"/>
      <c r="H8" s="276"/>
      <c r="J8" s="276"/>
      <c r="K8" s="276"/>
      <c r="L8" s="276"/>
      <c r="M8" s="276"/>
      <c r="N8" s="276"/>
    </row>
    <row r="9" spans="1:14" x14ac:dyDescent="0.25">
      <c r="A9" s="276"/>
      <c r="B9" s="555"/>
      <c r="C9" s="556" t="s">
        <v>181</v>
      </c>
      <c r="D9" s="305" t="s">
        <v>507</v>
      </c>
      <c r="E9" s="332">
        <v>1150</v>
      </c>
      <c r="F9" s="276"/>
      <c r="G9" s="276"/>
      <c r="H9" s="276"/>
      <c r="J9" s="276"/>
      <c r="K9" s="276"/>
      <c r="L9" s="276"/>
      <c r="M9" s="276"/>
      <c r="N9" s="276"/>
    </row>
    <row r="10" spans="1:14" x14ac:dyDescent="0.25">
      <c r="A10" s="276"/>
      <c r="B10" s="555"/>
      <c r="C10" s="556"/>
      <c r="D10" s="305" t="s">
        <v>539</v>
      </c>
      <c r="E10" s="332">
        <v>1150</v>
      </c>
      <c r="F10" s="282" t="s">
        <v>547</v>
      </c>
      <c r="G10" s="276"/>
      <c r="H10" s="276"/>
      <c r="J10" s="276"/>
      <c r="K10" s="276"/>
      <c r="L10" s="276"/>
      <c r="M10" s="276"/>
      <c r="N10" s="276"/>
    </row>
    <row r="11" spans="1:14" x14ac:dyDescent="0.25">
      <c r="A11" s="276"/>
      <c r="B11" s="555"/>
      <c r="C11" s="555" t="s">
        <v>530</v>
      </c>
      <c r="D11" s="305" t="s">
        <v>195</v>
      </c>
      <c r="E11" s="332">
        <v>25</v>
      </c>
      <c r="F11" s="282" t="s">
        <v>350</v>
      </c>
      <c r="G11" s="276"/>
      <c r="H11" s="276"/>
      <c r="J11" s="276"/>
      <c r="K11" s="276"/>
      <c r="L11" s="276"/>
      <c r="M11" s="276"/>
      <c r="N11" s="276"/>
    </row>
    <row r="12" spans="1:14" x14ac:dyDescent="0.25">
      <c r="A12" s="276"/>
      <c r="B12" s="555"/>
      <c r="C12" s="555"/>
      <c r="D12" s="305" t="s">
        <v>533</v>
      </c>
      <c r="E12" s="332">
        <v>50</v>
      </c>
      <c r="F12" s="282" t="s">
        <v>350</v>
      </c>
      <c r="G12" s="276"/>
      <c r="H12" s="276"/>
      <c r="J12" s="276"/>
      <c r="K12" s="276"/>
      <c r="L12" s="276"/>
      <c r="M12" s="276"/>
      <c r="N12" s="276"/>
    </row>
    <row r="13" spans="1:14" x14ac:dyDescent="0.25">
      <c r="A13" s="276"/>
      <c r="B13" s="276"/>
      <c r="F13" s="276"/>
      <c r="G13" s="276"/>
      <c r="H13" s="276"/>
      <c r="J13" s="276"/>
      <c r="K13" s="276"/>
      <c r="L13" s="276"/>
      <c r="M13" s="276"/>
      <c r="N13" s="276"/>
    </row>
    <row r="14" spans="1:14" x14ac:dyDescent="0.25">
      <c r="A14" s="276"/>
      <c r="B14" s="555" t="s">
        <v>16</v>
      </c>
      <c r="C14" s="555" t="s">
        <v>185</v>
      </c>
      <c r="D14" s="305" t="s">
        <v>525</v>
      </c>
      <c r="E14" s="332">
        <v>76</v>
      </c>
      <c r="F14" s="276"/>
      <c r="G14" s="276"/>
      <c r="H14" s="282"/>
      <c r="J14" s="276"/>
      <c r="K14" s="276"/>
      <c r="L14" s="276"/>
      <c r="M14" s="276"/>
      <c r="N14" s="276"/>
    </row>
    <row r="15" spans="1:14" x14ac:dyDescent="0.25">
      <c r="A15" s="276"/>
      <c r="B15" s="555"/>
      <c r="C15" s="555"/>
      <c r="D15" s="305" t="s">
        <v>526</v>
      </c>
      <c r="E15" s="332">
        <v>76</v>
      </c>
      <c r="F15" s="276"/>
      <c r="G15" s="276"/>
      <c r="H15" s="282"/>
      <c r="J15" s="276"/>
      <c r="K15" s="276"/>
      <c r="L15" s="276"/>
      <c r="M15" s="276"/>
      <c r="N15" s="276"/>
    </row>
    <row r="16" spans="1:14" x14ac:dyDescent="0.25">
      <c r="A16" s="276"/>
      <c r="B16" s="555"/>
      <c r="C16" s="555"/>
      <c r="D16" s="305" t="s">
        <v>527</v>
      </c>
      <c r="E16" s="332">
        <v>100</v>
      </c>
      <c r="F16" s="276"/>
      <c r="G16" s="276"/>
      <c r="H16" s="282"/>
      <c r="J16" s="276"/>
      <c r="K16" s="276"/>
      <c r="L16" s="276"/>
      <c r="M16" s="276"/>
      <c r="N16" s="276"/>
    </row>
    <row r="17" spans="1:14" x14ac:dyDescent="0.25">
      <c r="A17" s="276"/>
      <c r="B17" s="555"/>
      <c r="C17" s="555" t="s">
        <v>180</v>
      </c>
      <c r="D17" s="305" t="s">
        <v>535</v>
      </c>
      <c r="E17" s="332">
        <v>239</v>
      </c>
      <c r="F17" s="276"/>
      <c r="G17" s="276"/>
      <c r="H17" s="282"/>
      <c r="J17" s="276"/>
      <c r="K17" s="276"/>
      <c r="L17" s="276"/>
      <c r="M17" s="276"/>
      <c r="N17" s="276"/>
    </row>
    <row r="18" spans="1:14" x14ac:dyDescent="0.25">
      <c r="A18" s="276"/>
      <c r="B18" s="555"/>
      <c r="C18" s="555"/>
      <c r="D18" s="305" t="s">
        <v>536</v>
      </c>
      <c r="E18" s="332">
        <v>247</v>
      </c>
      <c r="F18" s="276"/>
      <c r="G18" s="276"/>
      <c r="H18" s="276"/>
      <c r="J18" s="276"/>
      <c r="K18" s="276"/>
      <c r="L18" s="276"/>
      <c r="M18" s="276"/>
      <c r="N18" s="276"/>
    </row>
    <row r="19" spans="1:14" x14ac:dyDescent="0.25">
      <c r="B19" s="555"/>
      <c r="C19" s="555"/>
      <c r="D19" s="305" t="s">
        <v>537</v>
      </c>
      <c r="E19" s="332">
        <v>264</v>
      </c>
      <c r="F19" s="276"/>
      <c r="G19" s="276"/>
      <c r="H19" s="276"/>
      <c r="J19" s="276"/>
      <c r="K19" s="276"/>
      <c r="L19" s="276"/>
      <c r="M19" s="276"/>
      <c r="N19" s="276"/>
    </row>
    <row r="20" spans="1:14" x14ac:dyDescent="0.25">
      <c r="B20" s="555"/>
      <c r="C20" s="305" t="s">
        <v>181</v>
      </c>
      <c r="D20" s="305" t="s">
        <v>538</v>
      </c>
      <c r="E20" s="332">
        <v>1470</v>
      </c>
      <c r="F20" s="276"/>
      <c r="G20" s="276"/>
      <c r="H20" s="276"/>
      <c r="J20" s="276"/>
      <c r="K20" s="276"/>
      <c r="L20" s="276"/>
      <c r="M20" s="276"/>
      <c r="N20" s="276"/>
    </row>
    <row r="21" spans="1:14" x14ac:dyDescent="0.25">
      <c r="B21" s="555"/>
      <c r="C21" s="555" t="s">
        <v>530</v>
      </c>
      <c r="D21" s="305" t="s">
        <v>544</v>
      </c>
      <c r="E21" s="332"/>
      <c r="F21" s="339" t="s">
        <v>541</v>
      </c>
      <c r="J21" s="276"/>
      <c r="K21" s="276"/>
      <c r="L21" s="276"/>
      <c r="M21" s="276"/>
      <c r="N21" s="276"/>
    </row>
    <row r="22" spans="1:14" x14ac:dyDescent="0.25">
      <c r="B22" s="555"/>
      <c r="C22" s="555"/>
      <c r="D22" s="305" t="s">
        <v>543</v>
      </c>
      <c r="E22" s="332"/>
      <c r="F22" s="339" t="s">
        <v>542</v>
      </c>
      <c r="J22" s="276"/>
      <c r="K22" s="276"/>
      <c r="L22" s="276"/>
      <c r="M22" s="276"/>
      <c r="N22" s="276"/>
    </row>
    <row r="23" spans="1:14" x14ac:dyDescent="0.25">
      <c r="B23" s="555"/>
      <c r="C23" s="555"/>
      <c r="D23" s="305" t="s">
        <v>545</v>
      </c>
      <c r="E23" s="332">
        <v>400</v>
      </c>
      <c r="J23" s="276"/>
      <c r="K23" s="276"/>
      <c r="L23" s="276"/>
      <c r="M23" s="276"/>
      <c r="N23" s="276"/>
    </row>
    <row r="24" spans="1:14" x14ac:dyDescent="0.25">
      <c r="B24" s="555"/>
      <c r="C24" s="555"/>
      <c r="D24" s="305" t="s">
        <v>546</v>
      </c>
      <c r="E24" s="332">
        <v>800</v>
      </c>
      <c r="J24" s="276"/>
      <c r="K24" s="276"/>
      <c r="L24" s="276"/>
      <c r="M24" s="276"/>
      <c r="N24" s="276"/>
    </row>
    <row r="25" spans="1:14" x14ac:dyDescent="0.25">
      <c r="J25" s="276"/>
      <c r="K25" s="276"/>
      <c r="L25" s="276"/>
      <c r="M25" s="276"/>
      <c r="N25" s="276"/>
    </row>
    <row r="26" spans="1:14" x14ac:dyDescent="0.25">
      <c r="B26" s="555" t="s">
        <v>17</v>
      </c>
      <c r="C26" s="555" t="s">
        <v>185</v>
      </c>
      <c r="D26" s="305" t="s">
        <v>469</v>
      </c>
      <c r="E26" s="305">
        <v>80</v>
      </c>
      <c r="F26" s="282"/>
      <c r="G26" s="282"/>
      <c r="H26" s="282"/>
      <c r="J26" s="276"/>
      <c r="K26" s="276"/>
      <c r="L26" s="276"/>
      <c r="M26" s="276"/>
      <c r="N26" s="276"/>
    </row>
    <row r="27" spans="1:14" x14ac:dyDescent="0.25">
      <c r="B27" s="555"/>
      <c r="C27" s="555"/>
      <c r="D27" s="305" t="s">
        <v>548</v>
      </c>
      <c r="E27" s="305">
        <v>45.5</v>
      </c>
      <c r="F27" s="282" t="s">
        <v>549</v>
      </c>
      <c r="G27" s="282"/>
      <c r="H27" s="282"/>
      <c r="J27" s="276"/>
      <c r="K27" s="276"/>
      <c r="L27" s="276"/>
      <c r="M27" s="276"/>
      <c r="N27" s="276"/>
    </row>
    <row r="28" spans="1:14" x14ac:dyDescent="0.25">
      <c r="B28" s="555"/>
      <c r="C28" s="555"/>
      <c r="D28" s="305" t="s">
        <v>550</v>
      </c>
      <c r="E28" s="305">
        <v>56.875</v>
      </c>
      <c r="F28" s="282"/>
      <c r="G28" s="282"/>
      <c r="H28" s="282"/>
      <c r="J28" s="276"/>
      <c r="K28" s="276"/>
      <c r="L28" s="276"/>
      <c r="M28" s="276"/>
      <c r="N28" s="276"/>
    </row>
    <row r="29" spans="1:14" x14ac:dyDescent="0.25">
      <c r="B29" s="555"/>
      <c r="C29" s="305" t="s">
        <v>180</v>
      </c>
      <c r="D29" s="305" t="s">
        <v>473</v>
      </c>
      <c r="E29" s="305">
        <v>660</v>
      </c>
      <c r="F29" s="282"/>
      <c r="G29" s="282"/>
      <c r="H29" s="282"/>
      <c r="J29" s="276"/>
      <c r="K29" s="276"/>
      <c r="L29" s="276"/>
      <c r="M29" s="276"/>
      <c r="N29" s="276"/>
    </row>
    <row r="30" spans="1:14" x14ac:dyDescent="0.25">
      <c r="B30" s="555"/>
      <c r="C30" s="305" t="s">
        <v>181</v>
      </c>
      <c r="D30" s="305" t="s">
        <v>507</v>
      </c>
      <c r="E30" s="305">
        <v>1130</v>
      </c>
      <c r="F30" s="282"/>
      <c r="G30" s="282"/>
      <c r="H30" s="282"/>
      <c r="J30" s="276"/>
      <c r="K30" s="276"/>
      <c r="L30" s="276"/>
      <c r="M30" s="276"/>
      <c r="N30" s="276"/>
    </row>
    <row r="31" spans="1:14" x14ac:dyDescent="0.25">
      <c r="B31" s="555"/>
      <c r="C31" s="555" t="s">
        <v>530</v>
      </c>
      <c r="D31" s="305" t="s">
        <v>551</v>
      </c>
      <c r="E31" s="305"/>
      <c r="F31" s="282" t="s">
        <v>552</v>
      </c>
      <c r="G31" s="282"/>
      <c r="H31" s="282"/>
      <c r="J31" s="276"/>
      <c r="K31" s="276"/>
      <c r="L31" s="276"/>
      <c r="M31" s="276"/>
      <c r="N31" s="276"/>
    </row>
    <row r="32" spans="1:14" x14ac:dyDescent="0.25">
      <c r="B32" s="555"/>
      <c r="C32" s="555"/>
      <c r="D32" s="305" t="s">
        <v>553</v>
      </c>
      <c r="E32" s="305"/>
      <c r="F32" s="282" t="s">
        <v>554</v>
      </c>
      <c r="G32" s="282"/>
      <c r="H32" s="282"/>
      <c r="J32" s="276"/>
      <c r="K32" s="276"/>
      <c r="L32" s="276"/>
      <c r="M32" s="276"/>
      <c r="N32" s="276"/>
    </row>
    <row r="33" spans="2:14" x14ac:dyDescent="0.25">
      <c r="J33" s="276"/>
      <c r="K33" s="276"/>
      <c r="L33" s="276"/>
      <c r="M33" s="276"/>
      <c r="N33" s="276"/>
    </row>
    <row r="34" spans="2:14" x14ac:dyDescent="0.25">
      <c r="B34" s="555" t="s">
        <v>18</v>
      </c>
      <c r="C34" s="305" t="s">
        <v>185</v>
      </c>
      <c r="D34" s="305" t="s">
        <v>469</v>
      </c>
      <c r="E34" s="332">
        <v>130</v>
      </c>
      <c r="J34" s="276"/>
      <c r="K34" s="276"/>
      <c r="L34" s="276"/>
      <c r="M34" s="276"/>
      <c r="N34" s="276"/>
    </row>
    <row r="35" spans="2:14" x14ac:dyDescent="0.25">
      <c r="B35" s="555"/>
      <c r="C35" s="305" t="s">
        <v>180</v>
      </c>
      <c r="D35" s="305" t="s">
        <v>473</v>
      </c>
      <c r="E35" s="332">
        <v>560</v>
      </c>
      <c r="J35" s="276"/>
      <c r="K35" s="276"/>
      <c r="L35" s="276"/>
      <c r="M35" s="276"/>
      <c r="N35" s="276"/>
    </row>
    <row r="36" spans="2:14" x14ac:dyDescent="0.25">
      <c r="B36" s="555"/>
      <c r="C36" s="305" t="s">
        <v>181</v>
      </c>
      <c r="D36" s="340" t="s">
        <v>557</v>
      </c>
      <c r="E36" s="332">
        <v>900</v>
      </c>
      <c r="J36" s="276"/>
      <c r="K36" s="276"/>
      <c r="L36" s="276"/>
      <c r="M36" s="276"/>
      <c r="N36" s="276"/>
    </row>
    <row r="37" spans="2:14" x14ac:dyDescent="0.25">
      <c r="J37" s="276"/>
      <c r="K37" s="276"/>
      <c r="L37" s="276"/>
      <c r="M37" s="276"/>
      <c r="N37" s="276"/>
    </row>
    <row r="38" spans="2:14" x14ac:dyDescent="0.25">
      <c r="B38" s="555" t="s">
        <v>19</v>
      </c>
      <c r="C38" s="555" t="s">
        <v>185</v>
      </c>
      <c r="D38" s="305" t="s">
        <v>525</v>
      </c>
      <c r="E38" s="332">
        <v>9.3000000000000007</v>
      </c>
      <c r="J38" s="276"/>
      <c r="K38" s="276"/>
      <c r="L38" s="276"/>
      <c r="M38" s="276"/>
      <c r="N38" s="276"/>
    </row>
    <row r="39" spans="2:14" x14ac:dyDescent="0.25">
      <c r="B39" s="555"/>
      <c r="C39" s="555"/>
      <c r="D39" s="305" t="s">
        <v>526</v>
      </c>
      <c r="E39" s="332">
        <v>9.8000000000000007</v>
      </c>
      <c r="J39" s="276"/>
      <c r="K39" s="276"/>
      <c r="L39" s="276"/>
      <c r="M39" s="276"/>
      <c r="N39" s="276"/>
    </row>
    <row r="40" spans="2:14" x14ac:dyDescent="0.25">
      <c r="B40" s="555"/>
      <c r="C40" s="555"/>
      <c r="D40" s="305" t="s">
        <v>527</v>
      </c>
      <c r="E40" s="332">
        <v>10.9</v>
      </c>
      <c r="H40" s="282" t="s">
        <v>185</v>
      </c>
      <c r="J40" s="276"/>
      <c r="K40" s="276"/>
      <c r="L40" s="276"/>
      <c r="M40" s="276"/>
      <c r="N40" s="276"/>
    </row>
    <row r="41" spans="2:14" x14ac:dyDescent="0.25">
      <c r="B41" s="555"/>
      <c r="C41" s="555"/>
      <c r="D41" s="340" t="s">
        <v>559</v>
      </c>
      <c r="E41" s="332">
        <v>14.2</v>
      </c>
      <c r="H41" s="282" t="s">
        <v>180</v>
      </c>
      <c r="J41" s="276"/>
      <c r="K41" s="276"/>
      <c r="L41" s="276"/>
      <c r="M41" s="276"/>
      <c r="N41" s="276"/>
    </row>
    <row r="42" spans="2:14" x14ac:dyDescent="0.25">
      <c r="B42" s="555"/>
      <c r="C42" s="305" t="s">
        <v>180</v>
      </c>
      <c r="D42" s="305" t="s">
        <v>473</v>
      </c>
      <c r="E42" s="332">
        <v>87.5</v>
      </c>
      <c r="H42" s="282" t="s">
        <v>181</v>
      </c>
      <c r="J42" s="276"/>
      <c r="K42" s="276"/>
      <c r="L42" s="276"/>
      <c r="M42" s="276"/>
      <c r="N42" s="276"/>
    </row>
    <row r="43" spans="2:14" x14ac:dyDescent="0.25">
      <c r="B43" s="555"/>
      <c r="C43" s="305" t="s">
        <v>181</v>
      </c>
      <c r="D43" s="305" t="s">
        <v>507</v>
      </c>
      <c r="E43" s="332">
        <v>69.900000000000006</v>
      </c>
      <c r="F43">
        <v>4</v>
      </c>
      <c r="H43" s="282" t="s">
        <v>530</v>
      </c>
      <c r="J43" s="276"/>
      <c r="K43" s="276"/>
      <c r="L43" s="276"/>
      <c r="M43" s="276"/>
      <c r="N43" s="276"/>
    </row>
    <row r="44" spans="2:14" x14ac:dyDescent="0.25">
      <c r="J44" s="276"/>
      <c r="K44" s="276"/>
      <c r="L44" s="276"/>
      <c r="M44" s="276"/>
      <c r="N44" s="276"/>
    </row>
    <row r="45" spans="2:14" x14ac:dyDescent="0.25">
      <c r="B45" s="305" t="s">
        <v>6</v>
      </c>
      <c r="D45" s="305" t="s">
        <v>469</v>
      </c>
      <c r="E45" s="276">
        <v>176</v>
      </c>
      <c r="J45" s="276"/>
      <c r="K45" s="276"/>
      <c r="L45" s="276"/>
      <c r="M45" s="276"/>
      <c r="N45" s="276"/>
    </row>
    <row r="46" spans="2:14" x14ac:dyDescent="0.25">
      <c r="J46" s="276"/>
      <c r="K46" s="276"/>
      <c r="L46" s="276"/>
      <c r="M46" s="276"/>
      <c r="N46" s="276"/>
    </row>
    <row r="47" spans="2:14" x14ac:dyDescent="0.25">
      <c r="J47" s="276"/>
      <c r="K47" s="276"/>
      <c r="L47" s="276"/>
      <c r="M47" s="276"/>
      <c r="N47" s="276"/>
    </row>
    <row r="48" spans="2:14" x14ac:dyDescent="0.25">
      <c r="J48" s="276"/>
      <c r="K48" s="276"/>
      <c r="L48" s="276"/>
      <c r="M48" s="276"/>
      <c r="N48" s="276"/>
    </row>
    <row r="49" spans="10:14" x14ac:dyDescent="0.25">
      <c r="J49" s="276"/>
      <c r="K49" s="276"/>
      <c r="L49" s="276"/>
      <c r="M49" s="276"/>
      <c r="N49" s="276"/>
    </row>
    <row r="50" spans="10:14" x14ac:dyDescent="0.25">
      <c r="J50" s="276"/>
      <c r="K50" s="276"/>
      <c r="L50" s="276"/>
      <c r="M50" s="276"/>
      <c r="N50" s="276"/>
    </row>
    <row r="51" spans="10:14" x14ac:dyDescent="0.25">
      <c r="J51" s="276"/>
      <c r="K51" s="276"/>
      <c r="L51" s="276"/>
      <c r="M51" s="276"/>
      <c r="N51" s="276"/>
    </row>
    <row r="52" spans="10:14" x14ac:dyDescent="0.25">
      <c r="J52" s="276"/>
      <c r="K52" s="276"/>
      <c r="L52" s="276"/>
      <c r="M52" s="276"/>
      <c r="N52" s="276"/>
    </row>
    <row r="53" spans="10:14" x14ac:dyDescent="0.25">
      <c r="J53" s="276"/>
      <c r="K53" s="276"/>
      <c r="L53" s="276"/>
      <c r="M53" s="276"/>
      <c r="N53" s="276"/>
    </row>
    <row r="54" spans="10:14" x14ac:dyDescent="0.25">
      <c r="J54" s="276"/>
      <c r="K54" s="276"/>
      <c r="L54" s="276"/>
      <c r="M54" s="276"/>
      <c r="N54" s="276"/>
    </row>
    <row r="55" spans="10:14" x14ac:dyDescent="0.25">
      <c r="J55" s="276"/>
      <c r="K55" s="276"/>
      <c r="L55" s="276"/>
      <c r="M55" s="276"/>
      <c r="N55" s="276"/>
    </row>
    <row r="56" spans="10:14" x14ac:dyDescent="0.25">
      <c r="J56" s="276"/>
      <c r="K56" s="276"/>
      <c r="L56" s="276"/>
      <c r="M56" s="276"/>
      <c r="N56" s="276"/>
    </row>
    <row r="57" spans="10:14" x14ac:dyDescent="0.25">
      <c r="J57" s="276"/>
      <c r="K57" s="276"/>
      <c r="L57" s="276"/>
      <c r="M57" s="276"/>
      <c r="N57" s="276"/>
    </row>
    <row r="58" spans="10:14" x14ac:dyDescent="0.25">
      <c r="J58" s="276"/>
      <c r="K58" s="276"/>
      <c r="L58" s="276"/>
      <c r="M58" s="276"/>
      <c r="N58" s="276"/>
    </row>
    <row r="59" spans="10:14" x14ac:dyDescent="0.25">
      <c r="J59" s="276"/>
      <c r="K59" s="276"/>
      <c r="L59" s="276"/>
      <c r="M59" s="276"/>
      <c r="N59" s="276"/>
    </row>
    <row r="60" spans="10:14" x14ac:dyDescent="0.25">
      <c r="J60" s="276"/>
      <c r="K60" s="276"/>
      <c r="L60" s="276"/>
      <c r="M60" s="276"/>
      <c r="N60" s="276"/>
    </row>
    <row r="61" spans="10:14" x14ac:dyDescent="0.25">
      <c r="J61" s="276"/>
      <c r="K61" s="276"/>
      <c r="L61" s="276"/>
      <c r="M61" s="276"/>
      <c r="N61" s="276"/>
    </row>
    <row r="62" spans="10:14" x14ac:dyDescent="0.25">
      <c r="J62" s="276"/>
      <c r="K62" s="276"/>
      <c r="L62" s="276"/>
      <c r="M62" s="276"/>
      <c r="N62" s="276"/>
    </row>
    <row r="63" spans="10:14" x14ac:dyDescent="0.25">
      <c r="J63" s="276"/>
      <c r="K63" s="276"/>
      <c r="L63" s="276"/>
      <c r="M63" s="276"/>
      <c r="N63" s="276"/>
    </row>
    <row r="64" spans="10:14" x14ac:dyDescent="0.25">
      <c r="J64" s="276"/>
      <c r="K64" s="276"/>
      <c r="L64" s="276"/>
      <c r="M64" s="276"/>
      <c r="N64" s="276"/>
    </row>
    <row r="65" spans="10:14" x14ac:dyDescent="0.25">
      <c r="J65" s="276"/>
      <c r="K65" s="276"/>
      <c r="L65" s="276"/>
      <c r="M65" s="276"/>
      <c r="N65" s="276"/>
    </row>
    <row r="66" spans="10:14" x14ac:dyDescent="0.25">
      <c r="J66" s="276"/>
      <c r="K66" s="276"/>
      <c r="L66" s="276"/>
      <c r="M66" s="276"/>
      <c r="N66" s="276"/>
    </row>
    <row r="67" spans="10:14" x14ac:dyDescent="0.25">
      <c r="J67" s="276"/>
      <c r="K67" s="276"/>
      <c r="L67" s="276"/>
      <c r="M67" s="276"/>
      <c r="N67" s="276"/>
    </row>
    <row r="68" spans="10:14" x14ac:dyDescent="0.25">
      <c r="J68" s="276"/>
      <c r="K68" s="276"/>
      <c r="L68" s="276"/>
      <c r="M68" s="276"/>
      <c r="N68" s="276"/>
    </row>
    <row r="69" spans="10:14" x14ac:dyDescent="0.25">
      <c r="J69" s="276"/>
      <c r="K69" s="276"/>
      <c r="L69" s="276"/>
      <c r="M69" s="276"/>
      <c r="N69" s="276"/>
    </row>
    <row r="70" spans="10:14" x14ac:dyDescent="0.25">
      <c r="J70" s="276"/>
      <c r="K70" s="276"/>
      <c r="L70" s="276"/>
      <c r="M70" s="276"/>
      <c r="N70" s="276"/>
    </row>
    <row r="71" spans="10:14" x14ac:dyDescent="0.25">
      <c r="J71" s="276"/>
      <c r="K71" s="276"/>
      <c r="L71" s="276"/>
      <c r="M71" s="276"/>
      <c r="N71" s="276"/>
    </row>
    <row r="72" spans="10:14" x14ac:dyDescent="0.25">
      <c r="J72" s="276"/>
      <c r="K72" s="276"/>
      <c r="L72" s="276"/>
      <c r="M72" s="276"/>
      <c r="N72" s="276"/>
    </row>
    <row r="73" spans="10:14" x14ac:dyDescent="0.25">
      <c r="J73" s="276"/>
      <c r="K73" s="276"/>
      <c r="L73" s="276"/>
      <c r="M73" s="276"/>
      <c r="N73" s="276"/>
    </row>
    <row r="74" spans="10:14" x14ac:dyDescent="0.25">
      <c r="J74" s="276"/>
      <c r="K74" s="276"/>
      <c r="L74" s="276"/>
      <c r="M74" s="276"/>
      <c r="N74" s="276"/>
    </row>
    <row r="75" spans="10:14" x14ac:dyDescent="0.25">
      <c r="J75" s="276"/>
      <c r="K75" s="276"/>
      <c r="L75" s="276"/>
      <c r="M75" s="276"/>
      <c r="N75" s="276"/>
    </row>
    <row r="76" spans="10:14" x14ac:dyDescent="0.25">
      <c r="J76" s="276"/>
      <c r="K76" s="276"/>
      <c r="L76" s="276"/>
      <c r="M76" s="276"/>
      <c r="N76" s="276"/>
    </row>
    <row r="77" spans="10:14" x14ac:dyDescent="0.25">
      <c r="J77" s="276"/>
      <c r="K77" s="276"/>
      <c r="L77" s="276"/>
      <c r="M77" s="276"/>
      <c r="N77" s="276"/>
    </row>
    <row r="78" spans="10:14" x14ac:dyDescent="0.25">
      <c r="J78" s="276"/>
      <c r="K78" s="276"/>
      <c r="L78" s="276"/>
      <c r="M78" s="276"/>
      <c r="N78" s="276"/>
    </row>
    <row r="79" spans="10:14" x14ac:dyDescent="0.25">
      <c r="J79" s="276"/>
      <c r="K79" s="276"/>
      <c r="L79" s="276"/>
      <c r="M79" s="276"/>
      <c r="N79" s="276"/>
    </row>
    <row r="80" spans="10:14" x14ac:dyDescent="0.25">
      <c r="J80" s="276"/>
      <c r="K80" s="276"/>
      <c r="L80" s="276"/>
      <c r="M80" s="276"/>
      <c r="N80" s="276"/>
    </row>
    <row r="81" spans="10:14" x14ac:dyDescent="0.25">
      <c r="J81" s="276"/>
      <c r="K81" s="276"/>
      <c r="L81" s="276"/>
      <c r="M81" s="276"/>
      <c r="N81" s="276"/>
    </row>
    <row r="82" spans="10:14" x14ac:dyDescent="0.25">
      <c r="J82" s="276"/>
      <c r="K82" s="276"/>
      <c r="L82" s="276"/>
      <c r="M82" s="276"/>
      <c r="N82" s="276"/>
    </row>
    <row r="83" spans="10:14" x14ac:dyDescent="0.25">
      <c r="J83" s="276"/>
      <c r="K83" s="276"/>
      <c r="L83" s="276"/>
      <c r="M83" s="276"/>
      <c r="N83" s="276"/>
    </row>
    <row r="84" spans="10:14" x14ac:dyDescent="0.25">
      <c r="J84" s="276"/>
      <c r="K84" s="276"/>
      <c r="L84" s="276"/>
      <c r="M84" s="276"/>
      <c r="N84" s="276"/>
    </row>
    <row r="85" spans="10:14" x14ac:dyDescent="0.25">
      <c r="J85" s="276"/>
      <c r="K85" s="276"/>
      <c r="L85" s="276"/>
      <c r="M85" s="276"/>
      <c r="N85" s="276"/>
    </row>
    <row r="86" spans="10:14" x14ac:dyDescent="0.25">
      <c r="J86" s="276"/>
      <c r="K86" s="276"/>
      <c r="L86" s="276"/>
      <c r="M86" s="276"/>
      <c r="N86" s="276"/>
    </row>
    <row r="87" spans="10:14" x14ac:dyDescent="0.25">
      <c r="J87" s="276"/>
      <c r="K87" s="276"/>
      <c r="L87" s="276"/>
      <c r="M87" s="276"/>
      <c r="N87" s="276"/>
    </row>
    <row r="88" spans="10:14" x14ac:dyDescent="0.25">
      <c r="J88" s="276"/>
      <c r="K88" s="276"/>
      <c r="L88" s="276"/>
      <c r="M88" s="276"/>
      <c r="N88" s="276"/>
    </row>
    <row r="89" spans="10:14" x14ac:dyDescent="0.25">
      <c r="J89" s="276"/>
      <c r="K89" s="276"/>
      <c r="L89" s="276"/>
      <c r="M89" s="276"/>
      <c r="N89" s="276"/>
    </row>
    <row r="90" spans="10:14" x14ac:dyDescent="0.25">
      <c r="J90" s="276"/>
      <c r="K90" s="276"/>
      <c r="L90" s="276"/>
      <c r="M90" s="276"/>
      <c r="N90" s="276"/>
    </row>
    <row r="91" spans="10:14" x14ac:dyDescent="0.25">
      <c r="J91" s="276"/>
      <c r="K91" s="276"/>
      <c r="L91" s="276"/>
      <c r="M91" s="276"/>
      <c r="N91" s="276"/>
    </row>
    <row r="92" spans="10:14" x14ac:dyDescent="0.25">
      <c r="J92" s="276"/>
      <c r="K92" s="276"/>
      <c r="L92" s="276"/>
      <c r="M92" s="276"/>
      <c r="N92" s="276"/>
    </row>
    <row r="93" spans="10:14" x14ac:dyDescent="0.25">
      <c r="J93" s="276"/>
      <c r="K93" s="276"/>
      <c r="L93" s="276"/>
      <c r="M93" s="276"/>
      <c r="N93" s="276"/>
    </row>
    <row r="94" spans="10:14" x14ac:dyDescent="0.25">
      <c r="J94" s="276"/>
      <c r="K94" s="276"/>
      <c r="L94" s="276"/>
      <c r="M94" s="276"/>
      <c r="N94" s="276"/>
    </row>
  </sheetData>
  <mergeCells count="15">
    <mergeCell ref="B34:B36"/>
    <mergeCell ref="C38:C41"/>
    <mergeCell ref="B38:B43"/>
    <mergeCell ref="C3:C6"/>
    <mergeCell ref="C7:C8"/>
    <mergeCell ref="C9:C10"/>
    <mergeCell ref="C11:C12"/>
    <mergeCell ref="B3:B12"/>
    <mergeCell ref="B26:B32"/>
    <mergeCell ref="C14:C16"/>
    <mergeCell ref="C17:C19"/>
    <mergeCell ref="C21:C24"/>
    <mergeCell ref="B14:B24"/>
    <mergeCell ref="C26:C28"/>
    <mergeCell ref="C31:C32"/>
  </mergeCells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AA479C-6CC9-4700-B1E5-C70C42E1D542}">
  <dimension ref="B2:AM28"/>
  <sheetViews>
    <sheetView zoomScale="85" zoomScaleNormal="85" workbookViewId="0">
      <selection activeCell="B5" sqref="B5"/>
    </sheetView>
  </sheetViews>
  <sheetFormatPr defaultRowHeight="15.75" x14ac:dyDescent="0.25"/>
  <cols>
    <col min="3" max="3" width="13.5703125" customWidth="1"/>
    <col min="4" max="4" width="13.7109375" customWidth="1"/>
    <col min="5" max="5" width="21.140625" customWidth="1"/>
    <col min="10" max="14" width="12.7109375" customWidth="1"/>
    <col min="15" max="15" width="16.7109375" customWidth="1"/>
    <col min="16" max="16" width="12.140625" customWidth="1"/>
    <col min="17" max="33" width="9.28515625" customWidth="1"/>
    <col min="34" max="34" width="16.42578125" customWidth="1"/>
  </cols>
  <sheetData>
    <row r="2" spans="2:39" ht="16.5" x14ac:dyDescent="0.25">
      <c r="B2" s="567"/>
      <c r="C2" s="215"/>
      <c r="D2" s="215"/>
      <c r="E2" s="215"/>
      <c r="F2" s="215"/>
      <c r="G2" s="559" t="s">
        <v>415</v>
      </c>
      <c r="H2" s="560"/>
      <c r="I2" s="561"/>
      <c r="J2" s="570" t="s">
        <v>185</v>
      </c>
      <c r="K2" s="571"/>
      <c r="L2" s="571"/>
      <c r="M2" s="571"/>
      <c r="N2" s="571"/>
      <c r="O2" s="571"/>
      <c r="P2" s="572"/>
      <c r="Q2" s="566" t="s">
        <v>180</v>
      </c>
      <c r="R2" s="566"/>
      <c r="S2" s="566"/>
      <c r="T2" s="566"/>
      <c r="U2" s="566"/>
      <c r="V2" s="566"/>
      <c r="W2" s="566"/>
      <c r="X2" s="566"/>
      <c r="Y2" s="566"/>
      <c r="Z2" s="566"/>
      <c r="AA2" s="566" t="s">
        <v>181</v>
      </c>
      <c r="AB2" s="566"/>
      <c r="AC2" s="566"/>
      <c r="AD2" s="566"/>
      <c r="AE2" s="566"/>
      <c r="AF2" s="566"/>
      <c r="AG2" s="566"/>
      <c r="AH2" s="557" t="s">
        <v>182</v>
      </c>
      <c r="AI2" s="558"/>
    </row>
    <row r="3" spans="2:39" ht="16.5" x14ac:dyDescent="0.25">
      <c r="B3" s="568"/>
      <c r="C3" s="216"/>
      <c r="D3" s="216"/>
      <c r="E3" s="216"/>
      <c r="F3" s="216"/>
      <c r="G3" s="562"/>
      <c r="H3" s="563"/>
      <c r="I3" s="564"/>
      <c r="J3" s="573"/>
      <c r="K3" s="574"/>
      <c r="L3" s="574"/>
      <c r="M3" s="574"/>
      <c r="N3" s="574"/>
      <c r="O3" s="574"/>
      <c r="P3" s="575"/>
      <c r="Q3" s="566" t="s">
        <v>184</v>
      </c>
      <c r="R3" s="565" t="s">
        <v>177</v>
      </c>
      <c r="S3" s="565"/>
      <c r="T3" s="565"/>
      <c r="U3" s="565" t="s">
        <v>178</v>
      </c>
      <c r="V3" s="565"/>
      <c r="W3" s="565"/>
      <c r="X3" s="565" t="s">
        <v>179</v>
      </c>
      <c r="Y3" s="565"/>
      <c r="Z3" s="565"/>
      <c r="AA3" s="566" t="s">
        <v>184</v>
      </c>
      <c r="AB3" s="565" t="s">
        <v>177</v>
      </c>
      <c r="AC3" s="565"/>
      <c r="AD3" s="565"/>
      <c r="AE3" s="565" t="s">
        <v>178</v>
      </c>
      <c r="AF3" s="565"/>
      <c r="AG3" s="565"/>
      <c r="AH3" s="6"/>
      <c r="AI3" s="217"/>
    </row>
    <row r="4" spans="2:39" ht="16.5" x14ac:dyDescent="0.25">
      <c r="B4" s="569"/>
      <c r="C4" s="6" t="s">
        <v>194</v>
      </c>
      <c r="D4" s="6" t="s">
        <v>411</v>
      </c>
      <c r="E4" s="6" t="s">
        <v>413</v>
      </c>
      <c r="F4" s="6" t="s">
        <v>189</v>
      </c>
      <c r="G4" s="218" t="s">
        <v>416</v>
      </c>
      <c r="H4" s="218" t="s">
        <v>417</v>
      </c>
      <c r="I4" s="218" t="s">
        <v>418</v>
      </c>
      <c r="J4" s="6" t="s">
        <v>177</v>
      </c>
      <c r="K4" s="6" t="s">
        <v>178</v>
      </c>
      <c r="L4" s="6" t="s">
        <v>179</v>
      </c>
      <c r="M4" s="46" t="s">
        <v>188</v>
      </c>
      <c r="N4" s="6" t="s">
        <v>186</v>
      </c>
      <c r="O4" s="6" t="s">
        <v>187</v>
      </c>
      <c r="P4" s="50" t="s">
        <v>196</v>
      </c>
      <c r="Q4" s="566"/>
      <c r="R4" s="50" t="s">
        <v>183</v>
      </c>
      <c r="S4" s="6" t="s">
        <v>190</v>
      </c>
      <c r="T4" s="46" t="s">
        <v>189</v>
      </c>
      <c r="U4" s="50" t="s">
        <v>183</v>
      </c>
      <c r="V4" s="6" t="s">
        <v>190</v>
      </c>
      <c r="W4" s="46" t="s">
        <v>189</v>
      </c>
      <c r="X4" s="50" t="s">
        <v>183</v>
      </c>
      <c r="Y4" s="6" t="s">
        <v>190</v>
      </c>
      <c r="Z4" s="46" t="s">
        <v>189</v>
      </c>
      <c r="AA4" s="566"/>
      <c r="AB4" s="6" t="s">
        <v>183</v>
      </c>
      <c r="AC4" s="6" t="s">
        <v>190</v>
      </c>
      <c r="AD4" s="46" t="s">
        <v>189</v>
      </c>
      <c r="AE4" s="6" t="s">
        <v>183</v>
      </c>
      <c r="AF4" s="6" t="s">
        <v>190</v>
      </c>
      <c r="AG4" s="46" t="s">
        <v>189</v>
      </c>
      <c r="AH4" s="46" t="s">
        <v>192</v>
      </c>
      <c r="AI4" s="217"/>
      <c r="AK4" t="s">
        <v>194</v>
      </c>
    </row>
    <row r="5" spans="2:39" ht="16.5" x14ac:dyDescent="0.25">
      <c r="B5" s="6" t="s">
        <v>15</v>
      </c>
      <c r="C5" s="6" t="s">
        <v>195</v>
      </c>
      <c r="D5" s="218" t="s">
        <v>412</v>
      </c>
      <c r="E5" s="218" t="s">
        <v>414</v>
      </c>
      <c r="F5" s="6">
        <v>8</v>
      </c>
      <c r="G5" s="6">
        <v>50</v>
      </c>
      <c r="H5" s="218"/>
      <c r="I5" s="218">
        <v>50</v>
      </c>
      <c r="J5" s="6">
        <v>100</v>
      </c>
      <c r="K5" s="6">
        <v>120</v>
      </c>
      <c r="L5" s="6">
        <v>150</v>
      </c>
      <c r="M5" s="47"/>
      <c r="N5" s="48"/>
      <c r="O5" s="6">
        <v>400</v>
      </c>
      <c r="P5" s="48"/>
      <c r="Q5" s="6">
        <v>14</v>
      </c>
      <c r="R5" s="6">
        <v>750</v>
      </c>
      <c r="S5" s="6">
        <v>1</v>
      </c>
      <c r="T5" s="48"/>
      <c r="U5" s="6">
        <v>100</v>
      </c>
      <c r="V5" s="6">
        <v>9</v>
      </c>
      <c r="W5" s="48"/>
      <c r="X5" s="6"/>
      <c r="Y5" s="6"/>
      <c r="Z5" s="48"/>
      <c r="AA5" s="6">
        <v>30</v>
      </c>
      <c r="AB5" s="6">
        <v>1150</v>
      </c>
      <c r="AC5" s="6"/>
      <c r="AD5" s="7"/>
      <c r="AE5" s="7"/>
      <c r="AF5" s="7"/>
      <c r="AG5" s="7"/>
      <c r="AH5" s="6">
        <v>50</v>
      </c>
      <c r="AI5" s="6"/>
      <c r="AK5" t="s">
        <v>195</v>
      </c>
      <c r="AL5">
        <v>25</v>
      </c>
      <c r="AM5">
        <v>50</v>
      </c>
    </row>
    <row r="6" spans="2:39" ht="16.5" x14ac:dyDescent="0.25">
      <c r="B6" s="6" t="s">
        <v>16</v>
      </c>
      <c r="C6" s="6"/>
      <c r="D6" s="6"/>
      <c r="E6" s="6"/>
      <c r="F6" s="6"/>
      <c r="G6" s="6"/>
      <c r="H6" s="6"/>
      <c r="I6" s="6"/>
      <c r="J6" s="6">
        <v>76</v>
      </c>
      <c r="K6" s="6">
        <v>76</v>
      </c>
      <c r="L6" s="6">
        <v>100</v>
      </c>
      <c r="M6" s="6"/>
      <c r="N6" s="6"/>
      <c r="O6" s="6"/>
      <c r="P6" s="6"/>
      <c r="Q6" s="6">
        <v>12</v>
      </c>
      <c r="R6" s="6">
        <v>239</v>
      </c>
      <c r="S6" s="6">
        <v>1</v>
      </c>
      <c r="T6" s="51"/>
      <c r="U6" s="6">
        <v>247</v>
      </c>
      <c r="V6" s="6">
        <v>1</v>
      </c>
      <c r="W6" s="52"/>
      <c r="X6" s="6">
        <v>264</v>
      </c>
      <c r="Y6" s="6">
        <v>1</v>
      </c>
      <c r="Z6" s="51"/>
      <c r="AA6" s="6">
        <v>28</v>
      </c>
      <c r="AB6" s="6">
        <v>490</v>
      </c>
      <c r="AC6" s="6">
        <v>3</v>
      </c>
      <c r="AD6" s="6"/>
      <c r="AE6" s="6"/>
      <c r="AF6" s="6"/>
      <c r="AG6" s="6"/>
      <c r="AH6" s="6"/>
      <c r="AI6" s="6"/>
      <c r="AK6" t="s">
        <v>193</v>
      </c>
      <c r="AL6">
        <v>40</v>
      </c>
      <c r="AM6">
        <v>80</v>
      </c>
    </row>
    <row r="7" spans="2:39" ht="16.5" x14ac:dyDescent="0.25">
      <c r="B7" s="6" t="s">
        <v>17</v>
      </c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</row>
    <row r="8" spans="2:39" ht="16.5" x14ac:dyDescent="0.25">
      <c r="B8" s="6" t="s">
        <v>18</v>
      </c>
      <c r="C8" s="6"/>
      <c r="D8" s="6"/>
      <c r="E8" s="6"/>
      <c r="F8" s="6"/>
      <c r="G8" s="6"/>
      <c r="H8" s="6"/>
      <c r="I8" s="6"/>
      <c r="J8" s="6">
        <v>130</v>
      </c>
      <c r="K8" s="6"/>
      <c r="L8" s="6"/>
      <c r="M8" s="6"/>
      <c r="N8" s="6"/>
      <c r="O8" s="6"/>
      <c r="P8" s="6"/>
      <c r="Q8" s="6"/>
      <c r="R8" s="6"/>
      <c r="S8" s="6"/>
      <c r="T8" s="6"/>
      <c r="U8" s="6"/>
      <c r="V8" s="6"/>
      <c r="W8" s="6"/>
      <c r="X8" s="6"/>
      <c r="Y8" s="6"/>
      <c r="Z8" s="6"/>
      <c r="AA8" s="6"/>
      <c r="AB8" s="6"/>
      <c r="AC8" s="6"/>
      <c r="AD8" s="6"/>
      <c r="AE8" s="6"/>
      <c r="AF8" s="6"/>
      <c r="AG8" s="6"/>
      <c r="AH8" s="6"/>
      <c r="AI8" s="6"/>
    </row>
    <row r="9" spans="2:39" ht="16.5" x14ac:dyDescent="0.25">
      <c r="B9" s="9" t="s">
        <v>19</v>
      </c>
      <c r="C9" s="9"/>
      <c r="D9" s="9"/>
      <c r="E9" s="9"/>
      <c r="F9" s="9"/>
      <c r="G9" s="9"/>
      <c r="H9" s="9"/>
      <c r="I9" s="9"/>
      <c r="J9" s="9">
        <v>9.3000000000000007</v>
      </c>
      <c r="K9" s="9">
        <v>9.8000000000000007</v>
      </c>
      <c r="L9" s="9">
        <v>10.9</v>
      </c>
      <c r="M9" s="9">
        <v>14.2</v>
      </c>
      <c r="N9" s="9">
        <v>15.2</v>
      </c>
      <c r="O9" s="9">
        <v>76</v>
      </c>
      <c r="P9" s="9"/>
      <c r="Q9" s="9">
        <v>10</v>
      </c>
      <c r="R9" s="9">
        <v>10.5</v>
      </c>
      <c r="S9" s="9">
        <v>6</v>
      </c>
      <c r="T9" s="9"/>
      <c r="U9" s="9"/>
      <c r="V9" s="9">
        <v>6</v>
      </c>
      <c r="W9" s="9"/>
      <c r="X9" s="9"/>
      <c r="Y9" s="9"/>
      <c r="Z9" s="49"/>
      <c r="AA9" s="9">
        <v>28</v>
      </c>
      <c r="AB9" s="9">
        <v>69.900000000000006</v>
      </c>
      <c r="AC9" s="9"/>
      <c r="AD9" s="9"/>
      <c r="AE9" s="9"/>
      <c r="AF9" s="9"/>
      <c r="AG9" s="9"/>
      <c r="AH9" s="9"/>
      <c r="AI9" s="9"/>
    </row>
    <row r="10" spans="2:39" ht="16.5" x14ac:dyDescent="0.25">
      <c r="B10" s="6" t="s">
        <v>6</v>
      </c>
      <c r="C10" s="6"/>
      <c r="D10" s="6"/>
      <c r="E10" s="6"/>
      <c r="F10" s="6"/>
      <c r="G10" s="6"/>
      <c r="H10" s="6"/>
      <c r="I10" s="6"/>
      <c r="J10" s="6">
        <v>88</v>
      </c>
      <c r="K10" s="6">
        <v>88</v>
      </c>
      <c r="L10" s="48"/>
      <c r="M10" s="48"/>
      <c r="N10" s="48"/>
      <c r="O10" s="48"/>
      <c r="P10" s="6">
        <v>233</v>
      </c>
      <c r="Q10" s="6">
        <v>12</v>
      </c>
      <c r="R10" s="6">
        <v>75</v>
      </c>
      <c r="S10" s="6">
        <v>20</v>
      </c>
      <c r="T10" s="6"/>
      <c r="U10" s="6"/>
      <c r="V10" s="6"/>
      <c r="W10" s="6"/>
      <c r="X10" s="6"/>
      <c r="Y10" s="6"/>
      <c r="Z10" s="6"/>
      <c r="AA10" s="6">
        <v>30</v>
      </c>
      <c r="AB10" s="6">
        <v>65</v>
      </c>
      <c r="AC10" s="6">
        <v>6</v>
      </c>
      <c r="AD10" s="6"/>
      <c r="AE10" s="6">
        <v>310</v>
      </c>
      <c r="AF10" s="6">
        <v>1</v>
      </c>
      <c r="AG10" s="6"/>
      <c r="AH10" s="6"/>
      <c r="AI10" s="6"/>
    </row>
    <row r="11" spans="2:39" ht="16.5" x14ac:dyDescent="0.25">
      <c r="B11" s="6" t="s">
        <v>20</v>
      </c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</row>
    <row r="12" spans="2:39" ht="16.5" x14ac:dyDescent="0.25">
      <c r="B12" s="6" t="s">
        <v>21</v>
      </c>
      <c r="C12" s="6"/>
      <c r="D12" s="6"/>
      <c r="E12" s="6"/>
      <c r="F12" s="6"/>
      <c r="G12" s="6"/>
      <c r="H12" s="6"/>
      <c r="I12" s="6"/>
      <c r="J12" s="6">
        <v>81.5</v>
      </c>
      <c r="K12" s="6"/>
      <c r="L12" s="6"/>
      <c r="M12" s="6"/>
      <c r="N12" s="6"/>
      <c r="O12" s="6">
        <v>114</v>
      </c>
      <c r="P12" s="6"/>
      <c r="Q12" s="6">
        <v>12</v>
      </c>
      <c r="R12" s="6">
        <v>183</v>
      </c>
      <c r="S12" s="6"/>
      <c r="T12" s="6">
        <v>4</v>
      </c>
      <c r="U12" s="6"/>
      <c r="V12" s="6"/>
      <c r="W12" s="6"/>
      <c r="X12" s="6"/>
      <c r="Y12" s="6"/>
      <c r="Z12" s="6"/>
      <c r="AA12" s="6">
        <v>30</v>
      </c>
      <c r="AB12" s="6">
        <v>286</v>
      </c>
      <c r="AC12" s="6">
        <v>1</v>
      </c>
      <c r="AD12" s="6"/>
      <c r="AE12" s="6">
        <v>62</v>
      </c>
      <c r="AF12" s="6"/>
      <c r="AG12" s="6">
        <v>12</v>
      </c>
      <c r="AH12" s="6"/>
      <c r="AI12" s="6"/>
    </row>
    <row r="13" spans="2:39" ht="16.5" x14ac:dyDescent="0.25">
      <c r="B13" s="6" t="s">
        <v>22</v>
      </c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</row>
    <row r="14" spans="2:39" ht="16.5" x14ac:dyDescent="0.25">
      <c r="B14" s="9" t="s">
        <v>23</v>
      </c>
      <c r="C14" s="9"/>
      <c r="D14" s="9"/>
      <c r="E14" s="9"/>
      <c r="F14" s="9"/>
      <c r="G14" s="9"/>
      <c r="H14" s="9"/>
      <c r="I14" s="9"/>
      <c r="J14" s="9"/>
      <c r="K14" s="9"/>
      <c r="L14" s="9"/>
      <c r="M14" s="9"/>
      <c r="N14" s="9"/>
      <c r="O14" s="9"/>
      <c r="P14" s="9"/>
      <c r="Q14" s="9"/>
      <c r="R14" s="9"/>
      <c r="S14" s="9"/>
      <c r="T14" s="9"/>
      <c r="U14" s="9"/>
      <c r="V14" s="9"/>
      <c r="W14" s="9"/>
      <c r="X14" s="9"/>
      <c r="Y14" s="9"/>
      <c r="Z14" s="9"/>
      <c r="AA14" s="9"/>
      <c r="AB14" s="9"/>
      <c r="AC14" s="9"/>
      <c r="AD14" s="9"/>
      <c r="AE14" s="9"/>
      <c r="AF14" s="9"/>
      <c r="AG14" s="9"/>
      <c r="AH14" s="9"/>
      <c r="AI14" s="9"/>
    </row>
    <row r="15" spans="2:39" ht="16.5" x14ac:dyDescent="0.25">
      <c r="B15" s="6" t="s">
        <v>24</v>
      </c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</row>
    <row r="16" spans="2:39" ht="16.5" x14ac:dyDescent="0.25">
      <c r="B16" s="6" t="s">
        <v>25</v>
      </c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</row>
    <row r="17" spans="2:35" ht="16.5" x14ac:dyDescent="0.25">
      <c r="B17" s="6" t="s">
        <v>26</v>
      </c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</row>
    <row r="18" spans="2:35" ht="16.5" x14ac:dyDescent="0.25">
      <c r="B18" s="6" t="s">
        <v>27</v>
      </c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</row>
    <row r="19" spans="2:35" ht="16.5" x14ac:dyDescent="0.25">
      <c r="B19" s="6" t="s">
        <v>28</v>
      </c>
      <c r="C19" s="6"/>
      <c r="D19" s="6"/>
      <c r="E19" s="6"/>
      <c r="F19" s="6"/>
      <c r="G19" s="6"/>
      <c r="H19" s="6"/>
      <c r="I19" s="6"/>
      <c r="J19" s="6"/>
      <c r="K19" s="6"/>
      <c r="L19" s="6"/>
      <c r="M19" s="6"/>
      <c r="N19" s="6"/>
      <c r="O19" s="6"/>
      <c r="P19" s="6"/>
      <c r="Q19" s="6"/>
      <c r="R19" s="6"/>
      <c r="S19" s="6"/>
      <c r="T19" s="6"/>
      <c r="U19" s="6"/>
      <c r="V19" s="6"/>
      <c r="W19" s="6"/>
      <c r="X19" s="6"/>
      <c r="Y19" s="6"/>
      <c r="Z19" s="6"/>
      <c r="AA19" s="6"/>
      <c r="AB19" s="6"/>
      <c r="AC19" s="6"/>
      <c r="AD19" s="6"/>
      <c r="AE19" s="6"/>
      <c r="AF19" s="6"/>
      <c r="AG19" s="6"/>
      <c r="AH19" s="6"/>
      <c r="AI19" s="6"/>
    </row>
    <row r="20" spans="2:35" ht="16.5" x14ac:dyDescent="0.25">
      <c r="B20" s="9" t="s">
        <v>29</v>
      </c>
      <c r="C20" s="9"/>
      <c r="D20" s="9"/>
      <c r="E20" s="9"/>
      <c r="F20" s="9"/>
      <c r="G20" s="9"/>
      <c r="H20" s="9"/>
      <c r="I20" s="9"/>
      <c r="J20" s="9"/>
      <c r="K20" s="9"/>
      <c r="L20" s="9"/>
      <c r="M20" s="9"/>
      <c r="N20" s="9"/>
      <c r="O20" s="9"/>
      <c r="P20" s="9"/>
      <c r="Q20" s="9"/>
      <c r="R20" s="9"/>
      <c r="S20" s="9"/>
      <c r="T20" s="9"/>
      <c r="U20" s="9"/>
      <c r="V20" s="9"/>
      <c r="W20" s="9"/>
      <c r="X20" s="9"/>
      <c r="Y20" s="9"/>
      <c r="Z20" s="9"/>
      <c r="AA20" s="9"/>
      <c r="AB20" s="9"/>
      <c r="AC20" s="9"/>
      <c r="AD20" s="9"/>
      <c r="AE20" s="9"/>
      <c r="AF20" s="9"/>
      <c r="AG20" s="9"/>
      <c r="AH20" s="9"/>
      <c r="AI20" s="9"/>
    </row>
    <row r="21" spans="2:35" ht="16.5" x14ac:dyDescent="0.25">
      <c r="B21" s="6" t="s">
        <v>30</v>
      </c>
      <c r="C21" s="6"/>
      <c r="D21" s="6"/>
      <c r="E21" s="6"/>
      <c r="F21" s="6"/>
      <c r="G21" s="6"/>
      <c r="H21" s="6"/>
      <c r="I21" s="6"/>
      <c r="J21" s="6"/>
      <c r="K21" s="6"/>
      <c r="L21" s="6"/>
      <c r="M21" s="6"/>
      <c r="N21" s="6"/>
      <c r="O21" s="6"/>
      <c r="P21" s="6"/>
      <c r="Q21" s="6"/>
      <c r="R21" s="6"/>
      <c r="S21" s="6"/>
      <c r="T21" s="6"/>
      <c r="U21" s="6"/>
      <c r="V21" s="6"/>
      <c r="W21" s="6"/>
      <c r="X21" s="6"/>
      <c r="Y21" s="6"/>
      <c r="Z21" s="6"/>
      <c r="AA21" s="6"/>
      <c r="AB21" s="6"/>
      <c r="AC21" s="6"/>
      <c r="AD21" s="6"/>
      <c r="AE21" s="6"/>
      <c r="AF21" s="6"/>
      <c r="AG21" s="6"/>
      <c r="AH21" s="6"/>
      <c r="AI21" s="6"/>
    </row>
    <row r="22" spans="2:35" ht="16.5" x14ac:dyDescent="0.25">
      <c r="B22" s="6" t="s">
        <v>31</v>
      </c>
      <c r="C22" s="6"/>
      <c r="D22" s="6"/>
      <c r="E22" s="6"/>
      <c r="F22" s="6"/>
      <c r="G22" s="6"/>
      <c r="H22" s="6"/>
      <c r="I22" s="6"/>
      <c r="J22" s="6"/>
      <c r="K22" s="6"/>
      <c r="L22" s="6"/>
      <c r="M22" s="6"/>
      <c r="N22" s="6"/>
      <c r="O22" s="6"/>
      <c r="P22" s="6"/>
      <c r="Q22" s="6"/>
      <c r="R22" s="6"/>
      <c r="S22" s="6"/>
      <c r="T22" s="6"/>
      <c r="U22" s="6"/>
      <c r="V22" s="6"/>
      <c r="W22" s="6"/>
      <c r="X22" s="6"/>
      <c r="Y22" s="6"/>
      <c r="Z22" s="6"/>
      <c r="AA22" s="6"/>
      <c r="AB22" s="6"/>
      <c r="AC22" s="6"/>
      <c r="AD22" s="6"/>
      <c r="AE22" s="6"/>
      <c r="AF22" s="6"/>
      <c r="AG22" s="6"/>
      <c r="AH22" s="6"/>
      <c r="AI22" s="6"/>
    </row>
    <row r="23" spans="2:35" ht="16.5" x14ac:dyDescent="0.25">
      <c r="B23" s="6" t="s">
        <v>32</v>
      </c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</row>
    <row r="24" spans="2:35" ht="16.5" x14ac:dyDescent="0.25">
      <c r="B24" s="6" t="s">
        <v>33</v>
      </c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</row>
    <row r="25" spans="2:35" ht="16.5" x14ac:dyDescent="0.25">
      <c r="B25" s="9" t="s">
        <v>34</v>
      </c>
      <c r="C25" s="9"/>
      <c r="D25" s="9"/>
      <c r="E25" s="9"/>
      <c r="F25" s="9"/>
      <c r="G25" s="9"/>
      <c r="H25" s="9"/>
      <c r="I25" s="9"/>
      <c r="J25" s="9"/>
      <c r="K25" s="9"/>
      <c r="L25" s="9"/>
      <c r="M25" s="9"/>
      <c r="N25" s="9"/>
      <c r="O25" s="9"/>
      <c r="P25" s="9"/>
      <c r="Q25" s="9"/>
      <c r="R25" s="9"/>
      <c r="S25" s="9"/>
      <c r="T25" s="9"/>
      <c r="U25" s="9"/>
      <c r="V25" s="9"/>
      <c r="W25" s="9"/>
      <c r="X25" s="9"/>
      <c r="Y25" s="9"/>
      <c r="Z25" s="9"/>
      <c r="AA25" s="9"/>
      <c r="AB25" s="9"/>
      <c r="AC25" s="9"/>
      <c r="AD25" s="9"/>
      <c r="AE25" s="9"/>
      <c r="AF25" s="9"/>
      <c r="AG25" s="9"/>
      <c r="AH25" s="9"/>
      <c r="AI25" s="9"/>
    </row>
    <row r="26" spans="2:35" ht="16.5" x14ac:dyDescent="0.25">
      <c r="B26" s="6" t="s">
        <v>35</v>
      </c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  <c r="O26" s="6"/>
      <c r="P26" s="6"/>
      <c r="Q26" s="6"/>
      <c r="R26" s="6"/>
      <c r="S26" s="6"/>
      <c r="T26" s="6"/>
      <c r="U26" s="6"/>
      <c r="V26" s="6"/>
      <c r="W26" s="6"/>
      <c r="X26" s="6"/>
      <c r="Y26" s="6"/>
      <c r="Z26" s="6"/>
      <c r="AA26" s="6"/>
      <c r="AB26" s="6"/>
      <c r="AC26" s="6"/>
      <c r="AD26" s="6"/>
      <c r="AE26" s="6"/>
      <c r="AF26" s="6"/>
      <c r="AG26" s="6"/>
      <c r="AH26" s="6"/>
      <c r="AI26" s="6"/>
    </row>
    <row r="27" spans="2:35" ht="16.5" x14ac:dyDescent="0.25">
      <c r="B27" s="6" t="s">
        <v>36</v>
      </c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</row>
    <row r="28" spans="2:35" ht="16.5" x14ac:dyDescent="0.25">
      <c r="B28" s="6" t="s">
        <v>163</v>
      </c>
      <c r="C28" s="218"/>
      <c r="D28" s="6"/>
      <c r="E28" s="6"/>
      <c r="F28" s="6"/>
      <c r="G28" s="6"/>
      <c r="H28" s="6"/>
      <c r="I28" s="6"/>
      <c r="J28" s="6">
        <v>168</v>
      </c>
      <c r="K28" s="6"/>
      <c r="L28" s="6"/>
      <c r="M28" s="6"/>
      <c r="N28" s="6"/>
      <c r="O28" s="6"/>
      <c r="P28" s="6">
        <v>210</v>
      </c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</row>
  </sheetData>
  <mergeCells count="13">
    <mergeCell ref="B2:B4"/>
    <mergeCell ref="Q2:Z2"/>
    <mergeCell ref="R3:T3"/>
    <mergeCell ref="U3:W3"/>
    <mergeCell ref="X3:Z3"/>
    <mergeCell ref="J2:P3"/>
    <mergeCell ref="AH2:AI2"/>
    <mergeCell ref="G2:I3"/>
    <mergeCell ref="AB3:AD3"/>
    <mergeCell ref="AE3:AG3"/>
    <mergeCell ref="AA2:AG2"/>
    <mergeCell ref="Q3:Q4"/>
    <mergeCell ref="AA3:AA4"/>
  </mergeCells>
  <phoneticPr fontId="1" type="noConversion"/>
  <pageMargins left="0.7" right="0.7" top="0.75" bottom="0.75" header="0.3" footer="0.3"/>
  <legacy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AD9EDE-FEC2-4EA0-B61D-8AD1E18EBF26}">
  <sheetPr codeName="工作表12"/>
  <dimension ref="B1:P21"/>
  <sheetViews>
    <sheetView zoomScale="130" zoomScaleNormal="130" workbookViewId="0">
      <selection activeCell="H28" sqref="H28"/>
    </sheetView>
  </sheetViews>
  <sheetFormatPr defaultRowHeight="15.75" x14ac:dyDescent="0.25"/>
  <cols>
    <col min="2" max="2" width="19.140625" customWidth="1"/>
    <col min="3" max="9" width="7" customWidth="1"/>
    <col min="15" max="15" width="7.42578125" customWidth="1"/>
    <col min="16" max="16" width="18.28515625" customWidth="1"/>
  </cols>
  <sheetData>
    <row r="1" spans="2:16" ht="16.5" thickBot="1" x14ac:dyDescent="0.3"/>
    <row r="2" spans="2:16" ht="17.25" thickBot="1" x14ac:dyDescent="0.35">
      <c r="B2" s="582" t="s">
        <v>224</v>
      </c>
      <c r="C2" s="584" t="s">
        <v>223</v>
      </c>
      <c r="D2" s="585"/>
      <c r="E2" s="585"/>
      <c r="F2" s="585"/>
      <c r="G2" s="585"/>
      <c r="H2" s="585"/>
      <c r="I2" s="586"/>
      <c r="J2" s="587" t="s">
        <v>225</v>
      </c>
      <c r="K2" s="580"/>
      <c r="L2" s="580"/>
      <c r="M2" s="580"/>
      <c r="N2" s="581"/>
    </row>
    <row r="3" spans="2:16" ht="17.25" thickBot="1" x14ac:dyDescent="0.3">
      <c r="B3" s="583"/>
      <c r="C3" s="80">
        <v>30</v>
      </c>
      <c r="D3" s="81">
        <v>40</v>
      </c>
      <c r="E3" s="55">
        <v>50</v>
      </c>
      <c r="F3" s="55">
        <v>52</v>
      </c>
      <c r="G3" s="55">
        <v>54</v>
      </c>
      <c r="H3" s="55">
        <v>57</v>
      </c>
      <c r="I3" s="56">
        <v>60</v>
      </c>
      <c r="J3" s="54">
        <v>1</v>
      </c>
      <c r="K3" s="55">
        <v>2</v>
      </c>
      <c r="L3" s="55">
        <v>3</v>
      </c>
      <c r="M3" s="55">
        <v>4</v>
      </c>
      <c r="N3" s="56">
        <v>5</v>
      </c>
    </row>
    <row r="4" spans="2:16" ht="17.25" thickBot="1" x14ac:dyDescent="0.3">
      <c r="B4" s="42"/>
      <c r="C4" s="587" t="s">
        <v>12</v>
      </c>
      <c r="D4" s="588"/>
      <c r="E4" s="588"/>
      <c r="F4" s="588"/>
      <c r="G4" s="588"/>
      <c r="H4" s="588"/>
      <c r="I4" s="589"/>
      <c r="J4" s="588" t="s">
        <v>37</v>
      </c>
      <c r="K4" s="580"/>
      <c r="L4" s="580"/>
      <c r="M4" s="580"/>
      <c r="N4" s="581"/>
      <c r="P4" s="58" t="s">
        <v>171</v>
      </c>
    </row>
    <row r="5" spans="2:16" ht="17.25" thickBot="1" x14ac:dyDescent="0.3">
      <c r="B5" s="76" t="s">
        <v>171</v>
      </c>
      <c r="C5" s="78">
        <v>27.5</v>
      </c>
      <c r="D5" s="79">
        <v>33</v>
      </c>
      <c r="E5" s="43">
        <v>38.5</v>
      </c>
      <c r="F5" s="43">
        <v>39.6</v>
      </c>
      <c r="G5" s="43">
        <v>40.700000000000003</v>
      </c>
      <c r="H5" s="77">
        <v>42.35</v>
      </c>
      <c r="I5" s="44">
        <v>44</v>
      </c>
      <c r="J5" s="43">
        <v>9.6</v>
      </c>
      <c r="K5" s="43">
        <v>10.8</v>
      </c>
      <c r="L5" s="43">
        <v>12</v>
      </c>
      <c r="M5" s="43">
        <v>13.2</v>
      </c>
      <c r="N5" s="44">
        <v>14.4</v>
      </c>
      <c r="P5" s="57" t="s">
        <v>172</v>
      </c>
    </row>
    <row r="6" spans="2:16" ht="17.25" thickBot="1" x14ac:dyDescent="0.3">
      <c r="B6" s="42"/>
      <c r="C6" s="587" t="s">
        <v>12</v>
      </c>
      <c r="D6" s="588"/>
      <c r="E6" s="588"/>
      <c r="F6" s="588"/>
      <c r="G6" s="588"/>
      <c r="H6" s="588"/>
      <c r="I6" s="589"/>
      <c r="J6" s="588" t="s">
        <v>10</v>
      </c>
      <c r="K6" s="580"/>
      <c r="L6" s="580"/>
      <c r="M6" s="580"/>
      <c r="N6" s="581"/>
      <c r="P6" s="57" t="s">
        <v>173</v>
      </c>
    </row>
    <row r="7" spans="2:16" ht="17.25" thickBot="1" x14ac:dyDescent="0.3">
      <c r="B7" s="76" t="s">
        <v>172</v>
      </c>
      <c r="C7" s="78">
        <v>27.5</v>
      </c>
      <c r="D7" s="79">
        <v>33</v>
      </c>
      <c r="E7" s="43">
        <v>38.5</v>
      </c>
      <c r="F7" s="43">
        <v>39.6</v>
      </c>
      <c r="G7" s="43">
        <v>40.700000000000003</v>
      </c>
      <c r="H7" s="77">
        <v>42.35</v>
      </c>
      <c r="I7" s="44">
        <v>44</v>
      </c>
      <c r="J7" s="43">
        <v>20</v>
      </c>
      <c r="K7" s="43">
        <v>22.5</v>
      </c>
      <c r="L7" s="43">
        <v>25</v>
      </c>
      <c r="M7" s="43">
        <v>27.5</v>
      </c>
      <c r="N7" s="44">
        <v>30</v>
      </c>
      <c r="P7" s="57" t="s">
        <v>176</v>
      </c>
    </row>
    <row r="8" spans="2:16" ht="17.25" thickBot="1" x14ac:dyDescent="0.3">
      <c r="B8" s="42"/>
      <c r="C8" s="587" t="s">
        <v>12</v>
      </c>
      <c r="D8" s="588"/>
      <c r="E8" s="588"/>
      <c r="F8" s="588"/>
      <c r="G8" s="588"/>
      <c r="H8" s="588"/>
      <c r="I8" s="589"/>
      <c r="J8" s="588" t="s">
        <v>117</v>
      </c>
      <c r="K8" s="580"/>
      <c r="L8" s="580"/>
      <c r="M8" s="580"/>
      <c r="N8" s="581"/>
      <c r="P8" s="57" t="s">
        <v>174</v>
      </c>
    </row>
    <row r="9" spans="2:16" ht="17.25" thickBot="1" x14ac:dyDescent="0.3">
      <c r="B9" s="76" t="s">
        <v>173</v>
      </c>
      <c r="C9" s="78">
        <v>27.5</v>
      </c>
      <c r="D9" s="79">
        <v>33</v>
      </c>
      <c r="E9" s="43">
        <v>38.5</v>
      </c>
      <c r="F9" s="43">
        <v>39.6</v>
      </c>
      <c r="G9" s="43">
        <v>40.700000000000003</v>
      </c>
      <c r="H9" s="77">
        <v>42.35</v>
      </c>
      <c r="I9" s="44">
        <v>44</v>
      </c>
      <c r="J9" s="43">
        <v>12</v>
      </c>
      <c r="K9" s="43">
        <v>13.5</v>
      </c>
      <c r="L9" s="43">
        <v>15</v>
      </c>
      <c r="M9" s="43">
        <v>16.5</v>
      </c>
      <c r="N9" s="44">
        <v>18</v>
      </c>
      <c r="P9" s="57" t="s">
        <v>175</v>
      </c>
    </row>
    <row r="10" spans="2:16" ht="16.5" x14ac:dyDescent="0.25">
      <c r="B10" s="42"/>
      <c r="C10" s="587" t="s">
        <v>12</v>
      </c>
      <c r="D10" s="588"/>
      <c r="E10" s="588"/>
      <c r="F10" s="588"/>
      <c r="G10" s="588"/>
      <c r="H10" s="588"/>
      <c r="I10" s="589"/>
      <c r="J10" s="588" t="s">
        <v>113</v>
      </c>
      <c r="K10" s="580"/>
      <c r="L10" s="580"/>
      <c r="M10" s="580"/>
      <c r="N10" s="581"/>
    </row>
    <row r="11" spans="2:16" ht="17.25" thickBot="1" x14ac:dyDescent="0.3">
      <c r="B11" s="76" t="s">
        <v>176</v>
      </c>
      <c r="C11" s="78">
        <v>27.5</v>
      </c>
      <c r="D11" s="79">
        <v>33</v>
      </c>
      <c r="E11" s="43">
        <v>38.5</v>
      </c>
      <c r="F11" s="43">
        <v>39.6</v>
      </c>
      <c r="G11" s="43">
        <v>40.700000000000003</v>
      </c>
      <c r="H11" s="77">
        <v>42.35</v>
      </c>
      <c r="I11" s="44">
        <v>44</v>
      </c>
      <c r="J11" s="43">
        <v>16</v>
      </c>
      <c r="K11" s="43">
        <v>18</v>
      </c>
      <c r="L11" s="43">
        <v>20</v>
      </c>
      <c r="M11" s="43">
        <v>22</v>
      </c>
      <c r="N11" s="44">
        <v>24</v>
      </c>
    </row>
    <row r="12" spans="2:16" ht="16.5" x14ac:dyDescent="0.25">
      <c r="B12" s="42"/>
      <c r="C12" s="587" t="s">
        <v>12</v>
      </c>
      <c r="D12" s="588"/>
      <c r="E12" s="588"/>
      <c r="F12" s="588"/>
      <c r="G12" s="588"/>
      <c r="H12" s="588"/>
      <c r="I12" s="589"/>
      <c r="J12" s="588" t="s">
        <v>65</v>
      </c>
      <c r="K12" s="580"/>
      <c r="L12" s="580"/>
      <c r="M12" s="580"/>
      <c r="N12" s="581"/>
    </row>
    <row r="13" spans="2:16" ht="17.25" thickBot="1" x14ac:dyDescent="0.3">
      <c r="B13" s="76" t="s">
        <v>174</v>
      </c>
      <c r="C13" s="78">
        <v>27.5</v>
      </c>
      <c r="D13" s="79">
        <v>33</v>
      </c>
      <c r="E13" s="43">
        <v>38.5</v>
      </c>
      <c r="F13" s="43">
        <v>39.6</v>
      </c>
      <c r="G13" s="43">
        <v>40.700000000000003</v>
      </c>
      <c r="H13" s="77">
        <v>42.35</v>
      </c>
      <c r="I13" s="44">
        <v>44</v>
      </c>
      <c r="J13" s="43">
        <v>16</v>
      </c>
      <c r="K13" s="43">
        <v>18</v>
      </c>
      <c r="L13" s="43">
        <v>20</v>
      </c>
      <c r="M13" s="43">
        <v>22</v>
      </c>
      <c r="N13" s="44">
        <v>24</v>
      </c>
    </row>
    <row r="14" spans="2:16" ht="16.5" x14ac:dyDescent="0.25">
      <c r="B14" s="45"/>
      <c r="C14" s="587" t="s">
        <v>12</v>
      </c>
      <c r="D14" s="588"/>
      <c r="E14" s="588"/>
      <c r="F14" s="588"/>
      <c r="G14" s="588"/>
      <c r="H14" s="588"/>
      <c r="I14" s="589"/>
      <c r="J14" s="590" t="s">
        <v>12</v>
      </c>
      <c r="K14" s="591"/>
      <c r="L14" s="591"/>
      <c r="M14" s="591"/>
      <c r="N14" s="592"/>
    </row>
    <row r="15" spans="2:16" ht="17.25" thickBot="1" x14ac:dyDescent="0.3">
      <c r="B15" s="76" t="s">
        <v>175</v>
      </c>
      <c r="C15" s="78">
        <v>27.5</v>
      </c>
      <c r="D15" s="79">
        <v>33</v>
      </c>
      <c r="E15" s="43">
        <v>38.5</v>
      </c>
      <c r="F15" s="43">
        <v>39.6</v>
      </c>
      <c r="G15" s="43">
        <v>40.700000000000003</v>
      </c>
      <c r="H15" s="77">
        <v>42.35</v>
      </c>
      <c r="I15" s="44">
        <v>44</v>
      </c>
      <c r="J15" s="43">
        <v>16</v>
      </c>
      <c r="K15" s="43">
        <v>18</v>
      </c>
      <c r="L15" s="43">
        <v>20</v>
      </c>
      <c r="M15" s="43">
        <v>22</v>
      </c>
      <c r="N15" s="44">
        <v>24</v>
      </c>
    </row>
    <row r="17" spans="2:14" ht="16.5" thickBot="1" x14ac:dyDescent="0.3"/>
    <row r="18" spans="2:14" ht="17.25" thickBot="1" x14ac:dyDescent="0.35">
      <c r="B18" s="597"/>
      <c r="C18" s="598"/>
      <c r="D18" s="599"/>
      <c r="E18" s="594" t="s">
        <v>223</v>
      </c>
      <c r="F18" s="585"/>
      <c r="G18" s="585"/>
      <c r="H18" s="585"/>
      <c r="I18" s="586"/>
      <c r="J18" s="579" t="s">
        <v>225</v>
      </c>
      <c r="K18" s="580"/>
      <c r="L18" s="580"/>
      <c r="M18" s="580"/>
      <c r="N18" s="581"/>
    </row>
    <row r="19" spans="2:14" ht="17.25" thickBot="1" x14ac:dyDescent="0.3">
      <c r="B19" s="600"/>
      <c r="C19" s="483"/>
      <c r="D19" s="601"/>
      <c r="E19" s="64">
        <v>50</v>
      </c>
      <c r="F19" s="65">
        <v>52</v>
      </c>
      <c r="G19" s="65">
        <v>54</v>
      </c>
      <c r="H19" s="65">
        <v>57</v>
      </c>
      <c r="I19" s="66">
        <v>60</v>
      </c>
      <c r="J19" s="54">
        <v>1</v>
      </c>
      <c r="K19" s="55">
        <v>2</v>
      </c>
      <c r="L19" s="55">
        <v>3</v>
      </c>
      <c r="M19" s="55">
        <v>4</v>
      </c>
      <c r="N19" s="56">
        <v>5</v>
      </c>
    </row>
    <row r="20" spans="2:14" ht="17.25" thickBot="1" x14ac:dyDescent="0.3">
      <c r="B20" s="602"/>
      <c r="C20" s="603"/>
      <c r="D20" s="604"/>
      <c r="E20" s="593" t="s">
        <v>12</v>
      </c>
      <c r="F20" s="595"/>
      <c r="G20" s="595"/>
      <c r="H20" s="595"/>
      <c r="I20" s="596"/>
      <c r="J20" s="593" t="s">
        <v>2</v>
      </c>
      <c r="K20" s="577"/>
      <c r="L20" s="577"/>
      <c r="M20" s="577"/>
      <c r="N20" s="578"/>
    </row>
    <row r="21" spans="2:14" ht="17.25" thickBot="1" x14ac:dyDescent="0.3">
      <c r="B21" s="576" t="s">
        <v>257</v>
      </c>
      <c r="C21" s="577"/>
      <c r="D21" s="578"/>
      <c r="E21" s="72">
        <v>45.5</v>
      </c>
      <c r="F21" s="67">
        <v>46.8</v>
      </c>
      <c r="G21" s="68">
        <v>48.1</v>
      </c>
      <c r="H21" s="69">
        <v>50.05</v>
      </c>
      <c r="I21" s="70">
        <v>52</v>
      </c>
      <c r="J21" s="54">
        <v>20</v>
      </c>
      <c r="K21" s="55">
        <v>22.5</v>
      </c>
      <c r="L21" s="55">
        <v>25</v>
      </c>
      <c r="M21" s="55">
        <v>27.5</v>
      </c>
      <c r="N21" s="56">
        <v>30</v>
      </c>
    </row>
  </sheetData>
  <mergeCells count="21">
    <mergeCell ref="C10:I10"/>
    <mergeCell ref="J20:N20"/>
    <mergeCell ref="E18:I18"/>
    <mergeCell ref="E20:I20"/>
    <mergeCell ref="B18:D20"/>
    <mergeCell ref="B21:D21"/>
    <mergeCell ref="J18:N18"/>
    <mergeCell ref="B2:B3"/>
    <mergeCell ref="C2:I2"/>
    <mergeCell ref="J2:N2"/>
    <mergeCell ref="C4:I4"/>
    <mergeCell ref="C6:I6"/>
    <mergeCell ref="J14:N14"/>
    <mergeCell ref="J10:N10"/>
    <mergeCell ref="J4:N4"/>
    <mergeCell ref="J6:N6"/>
    <mergeCell ref="J8:N8"/>
    <mergeCell ref="J12:N12"/>
    <mergeCell ref="C8:I8"/>
    <mergeCell ref="C14:I14"/>
    <mergeCell ref="C12:I12"/>
  </mergeCells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18</vt:i4>
      </vt:variant>
      <vt:variant>
        <vt:lpstr>具名範圍</vt:lpstr>
      </vt:variant>
      <vt:variant>
        <vt:i4>10</vt:i4>
      </vt:variant>
    </vt:vector>
  </HeadingPairs>
  <TitlesOfParts>
    <vt:vector size="28" baseType="lpstr">
      <vt:lpstr>首頁</vt:lpstr>
      <vt:lpstr>狼人</vt:lpstr>
      <vt:lpstr>角色與等級</vt:lpstr>
      <vt:lpstr>計算過程</vt:lpstr>
      <vt:lpstr>法寶卡</vt:lpstr>
      <vt:lpstr>套裝</vt:lpstr>
      <vt:lpstr>角色倍率</vt:lpstr>
      <vt:lpstr>角色技能倍率</vt:lpstr>
      <vt:lpstr>武器</vt:lpstr>
      <vt:lpstr>潛能數據</vt:lpstr>
      <vt:lpstr>敵人防禦及狀態</vt:lpstr>
      <vt:lpstr>暴擊倍率</vt:lpstr>
      <vt:lpstr>問答</vt:lpstr>
      <vt:lpstr>角色最佳潛能</vt:lpstr>
      <vt:lpstr>其他實測</vt:lpstr>
      <vt:lpstr>屬性標記</vt:lpstr>
      <vt:lpstr>網址</vt:lpstr>
      <vt:lpstr>防禦穿透表現</vt:lpstr>
      <vt:lpstr>支援</vt:lpstr>
      <vt:lpstr>打擊</vt:lpstr>
      <vt:lpstr>砍擊</vt:lpstr>
      <vt:lpstr>射擊</vt:lpstr>
      <vt:lpstr>通用</vt:lpstr>
      <vt:lpstr>黑巧克力_特殊技能</vt:lpstr>
      <vt:lpstr>黑巧克力_基本攻擊</vt:lpstr>
      <vt:lpstr>黑巧克力_被動</vt:lpstr>
      <vt:lpstr>黑巧克力_絕招</vt:lpstr>
      <vt:lpstr>魔法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m86829</dc:creator>
  <cp:lastModifiedBy>銘儀 徐</cp:lastModifiedBy>
  <dcterms:created xsi:type="dcterms:W3CDTF">2015-06-05T18:19:34Z</dcterms:created>
  <dcterms:modified xsi:type="dcterms:W3CDTF">2025-02-08T14:03:29Z</dcterms:modified>
</cp:coreProperties>
</file>